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02214766\OneDrive - Elanco\Billy Kyle\Calculator sheets\2024\"/>
    </mc:Choice>
  </mc:AlternateContent>
  <xr:revisionPtr revIDLastSave="0" documentId="8_{8EAA74EC-66C0-40CE-BFD2-16ABEB3C5B3E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Cost per dose (2)" sheetId="5" state="hidden" r:id="rId1"/>
    <sheet name="Cost per dose" sheetId="1" r:id="rId2"/>
    <sheet name="Sheet2" sheetId="2" state="hidden" r:id="rId3"/>
    <sheet name="Length of protection" sheetId="3" r:id="rId4"/>
    <sheet name="Cost of blowfly strike" sheetId="4" r:id="rId5"/>
  </sheets>
  <definedNames>
    <definedName name="_xlnm.Print_Area" localSheetId="4">'Cost of blowfly strike'!$A$1:$AA$31</definedName>
    <definedName name="_xlnm.Print_Area" localSheetId="1">'Cost per dose'!$A$1:$AD$33</definedName>
    <definedName name="_xlnm.Print_Area" localSheetId="0">'Cost per dose (2)'!$A$1:$AD$36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4" i="2" l="1"/>
  <c r="F100" i="2"/>
  <c r="F98" i="2"/>
  <c r="F96" i="2"/>
  <c r="J96" i="2" s="1"/>
  <c r="F94" i="2"/>
  <c r="N6" i="2"/>
  <c r="N5" i="2"/>
  <c r="N4" i="2"/>
  <c r="N3" i="2"/>
  <c r="L6" i="2"/>
  <c r="L5" i="2"/>
  <c r="L4" i="2"/>
  <c r="L3" i="2"/>
  <c r="J6" i="2"/>
  <c r="J5" i="2"/>
  <c r="J4" i="2"/>
  <c r="J3" i="2"/>
  <c r="H6" i="2"/>
  <c r="H5" i="2"/>
  <c r="H4" i="2"/>
  <c r="H3" i="2"/>
  <c r="F6" i="2"/>
  <c r="F5" i="2"/>
  <c r="F4" i="2"/>
  <c r="F3" i="2"/>
  <c r="D4" i="2"/>
  <c r="D5" i="2"/>
  <c r="D6" i="2"/>
  <c r="D3" i="2"/>
  <c r="R26" i="5"/>
  <c r="Y20" i="5"/>
  <c r="T20" i="5"/>
  <c r="U20" i="5" s="1"/>
  <c r="G20" i="5"/>
  <c r="H20" i="5" s="1"/>
  <c r="Y18" i="5"/>
  <c r="U18" i="5"/>
  <c r="T18" i="5"/>
  <c r="G18" i="5"/>
  <c r="H18" i="5" s="1"/>
  <c r="Y16" i="5"/>
  <c r="U16" i="5"/>
  <c r="T16" i="5"/>
  <c r="G16" i="5"/>
  <c r="H16" i="5" s="1"/>
  <c r="Y14" i="5"/>
  <c r="U14" i="5"/>
  <c r="T14" i="5"/>
  <c r="G14" i="5"/>
  <c r="H14" i="5" s="1"/>
  <c r="Y12" i="5"/>
  <c r="T12" i="5"/>
  <c r="U12" i="5" s="1"/>
  <c r="G12" i="5"/>
  <c r="H12" i="5" s="1"/>
  <c r="Y10" i="5"/>
  <c r="T10" i="5"/>
  <c r="U10" i="5" s="1"/>
  <c r="G10" i="5"/>
  <c r="H10" i="5" s="1"/>
  <c r="P8" i="5"/>
  <c r="T18" i="1"/>
  <c r="T16" i="1"/>
  <c r="T14" i="1"/>
  <c r="T12" i="1"/>
  <c r="T10" i="1"/>
  <c r="D12" i="2" l="1"/>
  <c r="K8" i="4" l="1"/>
  <c r="P8" i="4" s="1"/>
  <c r="W16" i="4" s="1"/>
  <c r="P6" i="4"/>
  <c r="K10" i="4" s="1"/>
  <c r="AG18" i="3"/>
  <c r="AG20" i="3" s="1"/>
  <c r="AL6" i="3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G87" i="2" s="1"/>
  <c r="D98" i="2"/>
  <c r="C98" i="2"/>
  <c r="D97" i="2"/>
  <c r="C97" i="2"/>
  <c r="I96" i="2"/>
  <c r="D95" i="2"/>
  <c r="C95" i="2"/>
  <c r="I94" i="2"/>
  <c r="D94" i="2"/>
  <c r="C94" i="2"/>
  <c r="D93" i="2"/>
  <c r="C93" i="2"/>
  <c r="D92" i="2"/>
  <c r="C92" i="2"/>
  <c r="D91" i="2"/>
  <c r="C91" i="2"/>
  <c r="D90" i="2"/>
  <c r="C90" i="2"/>
  <c r="D89" i="2"/>
  <c r="C89" i="2"/>
  <c r="F87" i="2" s="1"/>
  <c r="D88" i="2"/>
  <c r="C88" i="2"/>
  <c r="D87" i="2"/>
  <c r="C87" i="2"/>
  <c r="B69" i="2"/>
  <c r="D68" i="2"/>
  <c r="C68" i="2"/>
  <c r="B68" i="2"/>
  <c r="S20" i="2"/>
  <c r="S18" i="2"/>
  <c r="A18" i="2"/>
  <c r="A19" i="2" s="1"/>
  <c r="Q17" i="2"/>
  <c r="B17" i="2"/>
  <c r="A17" i="2"/>
  <c r="S16" i="2"/>
  <c r="B16" i="2"/>
  <c r="Q15" i="2"/>
  <c r="S7" i="2"/>
  <c r="Q6" i="2"/>
  <c r="N12" i="2"/>
  <c r="L12" i="2"/>
  <c r="J12" i="2"/>
  <c r="H12" i="2"/>
  <c r="C18" i="4" s="1"/>
  <c r="F12" i="2"/>
  <c r="C16" i="4" s="1"/>
  <c r="C14" i="4"/>
  <c r="S5" i="2"/>
  <c r="N11" i="2"/>
  <c r="L11" i="2"/>
  <c r="J11" i="2"/>
  <c r="H11" i="2"/>
  <c r="F11" i="2"/>
  <c r="D11" i="2"/>
  <c r="Q4" i="2"/>
  <c r="N10" i="2"/>
  <c r="L10" i="2"/>
  <c r="J10" i="2"/>
  <c r="H10" i="2"/>
  <c r="F10" i="2"/>
  <c r="D10" i="2"/>
  <c r="S3" i="2"/>
  <c r="AA10" i="5" s="1"/>
  <c r="L9" i="2"/>
  <c r="J9" i="2"/>
  <c r="H9" i="2"/>
  <c r="F9" i="2"/>
  <c r="D9" i="2"/>
  <c r="Y18" i="1"/>
  <c r="I104" i="2"/>
  <c r="I102" i="2"/>
  <c r="Y16" i="1"/>
  <c r="I100" i="2"/>
  <c r="G16" i="1"/>
  <c r="Y14" i="1"/>
  <c r="I98" i="2"/>
  <c r="G14" i="1"/>
  <c r="H98" i="2" s="1"/>
  <c r="Y12" i="1"/>
  <c r="U12" i="1"/>
  <c r="G12" i="1"/>
  <c r="H96" i="2" s="1"/>
  <c r="Y10" i="1"/>
  <c r="U10" i="1"/>
  <c r="G10" i="1"/>
  <c r="H94" i="2" s="1"/>
  <c r="P8" i="1"/>
  <c r="B80" i="2" l="1"/>
  <c r="AA18" i="5"/>
  <c r="G17" i="2"/>
  <c r="H17" i="2" s="1"/>
  <c r="AA14" i="5"/>
  <c r="I16" i="2"/>
  <c r="AA16" i="5"/>
  <c r="E16" i="2"/>
  <c r="F16" i="2" s="1"/>
  <c r="AA12" i="5"/>
  <c r="AA18" i="1"/>
  <c r="Q18" i="2" s="1"/>
  <c r="AA20" i="5"/>
  <c r="P14" i="1"/>
  <c r="P14" i="5"/>
  <c r="P10" i="1"/>
  <c r="P10" i="5"/>
  <c r="P12" i="1"/>
  <c r="P12" i="5"/>
  <c r="B18" i="4"/>
  <c r="J18" i="4" s="1"/>
  <c r="M16" i="2"/>
  <c r="AA12" i="1"/>
  <c r="Q5" i="2" s="1"/>
  <c r="AA16" i="1"/>
  <c r="Q16" i="2" s="1"/>
  <c r="AA14" i="1"/>
  <c r="Q7" i="2" s="1"/>
  <c r="I17" i="2"/>
  <c r="M17" i="2"/>
  <c r="B76" i="2"/>
  <c r="E9" i="2"/>
  <c r="B14" i="4"/>
  <c r="J14" i="4" s="1"/>
  <c r="B16" i="4"/>
  <c r="J16" i="4" s="1"/>
  <c r="C8" i="3"/>
  <c r="C9" i="3" s="1"/>
  <c r="C10" i="3" s="1"/>
  <c r="C4" i="3"/>
  <c r="C5" i="3" s="1"/>
  <c r="C6" i="3" s="1"/>
  <c r="J94" i="2"/>
  <c r="L94" i="2" s="1"/>
  <c r="L96" i="2"/>
  <c r="J98" i="2"/>
  <c r="L98" i="2" s="1"/>
  <c r="U18" i="1"/>
  <c r="N9" i="2"/>
  <c r="C16" i="2"/>
  <c r="D16" i="2" s="1"/>
  <c r="C18" i="2"/>
  <c r="D18" i="2" s="1"/>
  <c r="C17" i="2"/>
  <c r="D17" i="2" s="1"/>
  <c r="D4" i="3"/>
  <c r="AL12" i="3"/>
  <c r="D16" i="3"/>
  <c r="C16" i="3"/>
  <c r="C12" i="3"/>
  <c r="AA10" i="1"/>
  <c r="G18" i="1"/>
  <c r="H14" i="1"/>
  <c r="H10" i="1"/>
  <c r="H12" i="1"/>
  <c r="M19" i="2"/>
  <c r="B19" i="2"/>
  <c r="I19" i="2"/>
  <c r="G19" i="2"/>
  <c r="H19" i="2" s="1"/>
  <c r="E68" i="2"/>
  <c r="E19" i="2"/>
  <c r="F19" i="2" s="1"/>
  <c r="A20" i="2"/>
  <c r="C19" i="2"/>
  <c r="D19" i="2" s="1"/>
  <c r="H16" i="1"/>
  <c r="G89" i="2"/>
  <c r="G88" i="2"/>
  <c r="U14" i="1"/>
  <c r="U16" i="1"/>
  <c r="H87" i="2"/>
  <c r="J87" i="2" s="1"/>
  <c r="G18" i="2"/>
  <c r="H18" i="2" s="1"/>
  <c r="C69" i="2"/>
  <c r="D12" i="3" s="1"/>
  <c r="C74" i="2"/>
  <c r="C75" i="2" s="1"/>
  <c r="C72" i="2"/>
  <c r="C73" i="2" s="1"/>
  <c r="G16" i="2"/>
  <c r="H16" i="2" s="1"/>
  <c r="D80" i="2"/>
  <c r="D72" i="2"/>
  <c r="D73" i="2" s="1"/>
  <c r="D74" i="2"/>
  <c r="D75" i="2" s="1"/>
  <c r="D69" i="2"/>
  <c r="E16" i="3" s="1"/>
  <c r="C76" i="2"/>
  <c r="I18" i="2"/>
  <c r="Q20" i="2"/>
  <c r="D76" i="2"/>
  <c r="C80" i="2"/>
  <c r="E17" i="2"/>
  <c r="F17" i="2" s="1"/>
  <c r="B18" i="2"/>
  <c r="M18" i="2"/>
  <c r="F88" i="2"/>
  <c r="C70" i="2"/>
  <c r="C71" i="2" s="1"/>
  <c r="D70" i="2"/>
  <c r="D71" i="2" s="1"/>
  <c r="E18" i="2"/>
  <c r="F18" i="2" s="1"/>
  <c r="W12" i="4"/>
  <c r="P10" i="4"/>
  <c r="W18" i="4" s="1"/>
  <c r="B70" i="2"/>
  <c r="B71" i="2" s="1"/>
  <c r="B72" i="2"/>
  <c r="B73" i="2" s="1"/>
  <c r="B74" i="2"/>
  <c r="B75" i="2" s="1"/>
  <c r="F89" i="2"/>
  <c r="W20" i="4"/>
  <c r="S10" i="5" l="1"/>
  <c r="S12" i="5"/>
  <c r="S14" i="5"/>
  <c r="V14" i="1"/>
  <c r="V14" i="5"/>
  <c r="V12" i="1"/>
  <c r="V12" i="5"/>
  <c r="V10" i="1"/>
  <c r="V10" i="5"/>
  <c r="J17" i="3"/>
  <c r="I17" i="3"/>
  <c r="H88" i="2"/>
  <c r="J88" i="2" s="1"/>
  <c r="S18" i="5" s="1"/>
  <c r="H89" i="2"/>
  <c r="J89" i="2" s="1"/>
  <c r="L16" i="4"/>
  <c r="H100" i="2"/>
  <c r="J100" i="2"/>
  <c r="L100" i="2" s="1"/>
  <c r="E17" i="3"/>
  <c r="E18" i="3" s="1"/>
  <c r="E20" i="3" s="1"/>
  <c r="D13" i="3"/>
  <c r="D14" i="3" s="1"/>
  <c r="D8" i="3"/>
  <c r="E12" i="3"/>
  <c r="E69" i="2"/>
  <c r="E74" i="2"/>
  <c r="E76" i="2"/>
  <c r="K17" i="3" s="1"/>
  <c r="E70" i="2"/>
  <c r="E71" i="2" s="1"/>
  <c r="E80" i="2"/>
  <c r="E72" i="2"/>
  <c r="C17" i="3"/>
  <c r="C18" i="3" s="1"/>
  <c r="C20" i="3" s="1"/>
  <c r="D5" i="3"/>
  <c r="D6" i="3" s="1"/>
  <c r="K13" i="3"/>
  <c r="S9" i="3"/>
  <c r="E4" i="3"/>
  <c r="C13" i="3"/>
  <c r="C14" i="3" s="1"/>
  <c r="W5" i="3"/>
  <c r="V5" i="3"/>
  <c r="Q3" i="2"/>
  <c r="L13" i="3"/>
  <c r="E8" i="3"/>
  <c r="F102" i="2"/>
  <c r="J102" i="2" s="1"/>
  <c r="S10" i="1"/>
  <c r="S12" i="1"/>
  <c r="S14" i="1"/>
  <c r="J104" i="2"/>
  <c r="H18" i="1"/>
  <c r="D17" i="3"/>
  <c r="D18" i="3" s="1"/>
  <c r="D20" i="3" s="1"/>
  <c r="G20" i="2"/>
  <c r="H20" i="2" s="1"/>
  <c r="A21" i="2"/>
  <c r="E20" i="2"/>
  <c r="F20" i="2" s="1"/>
  <c r="F68" i="2"/>
  <c r="C20" i="2"/>
  <c r="D20" i="2" s="1"/>
  <c r="M20" i="2"/>
  <c r="B20" i="2"/>
  <c r="I20" i="2"/>
  <c r="T9" i="3"/>
  <c r="S16" i="1" l="1"/>
  <c r="S20" i="5"/>
  <c r="S16" i="5"/>
  <c r="V16" i="1"/>
  <c r="V16" i="5"/>
  <c r="P16" i="1"/>
  <c r="P16" i="5"/>
  <c r="S18" i="1"/>
  <c r="H104" i="2"/>
  <c r="L104" i="2"/>
  <c r="H102" i="2"/>
  <c r="L102" i="2"/>
  <c r="E5" i="3"/>
  <c r="E6" i="3" s="1"/>
  <c r="E9" i="3"/>
  <c r="E10" i="3" s="1"/>
  <c r="D9" i="3"/>
  <c r="D10" i="3" s="1"/>
  <c r="F74" i="2"/>
  <c r="F76" i="2"/>
  <c r="L17" i="3" s="1"/>
  <c r="F70" i="2"/>
  <c r="F69" i="2"/>
  <c r="F80" i="2"/>
  <c r="F72" i="2"/>
  <c r="F4" i="3"/>
  <c r="F16" i="3"/>
  <c r="F12" i="3"/>
  <c r="F8" i="3"/>
  <c r="E13" i="3"/>
  <c r="E14" i="3" s="1"/>
  <c r="E73" i="2"/>
  <c r="U9" i="3"/>
  <c r="A22" i="2"/>
  <c r="C21" i="2"/>
  <c r="D21" i="2" s="1"/>
  <c r="M21" i="2"/>
  <c r="B21" i="2"/>
  <c r="G68" i="2"/>
  <c r="I21" i="2"/>
  <c r="G21" i="2"/>
  <c r="H21" i="2" s="1"/>
  <c r="E21" i="2"/>
  <c r="F21" i="2" s="1"/>
  <c r="X5" i="3"/>
  <c r="E75" i="2"/>
  <c r="M13" i="3"/>
  <c r="V18" i="1" l="1"/>
  <c r="V20" i="5"/>
  <c r="V18" i="5"/>
  <c r="P18" i="5"/>
  <c r="P18" i="1"/>
  <c r="P20" i="5"/>
  <c r="F75" i="2"/>
  <c r="N13" i="3"/>
  <c r="F5" i="3"/>
  <c r="F6" i="3" s="1"/>
  <c r="F9" i="3"/>
  <c r="F10" i="3" s="1"/>
  <c r="F13" i="3"/>
  <c r="F14" i="3" s="1"/>
  <c r="F73" i="2"/>
  <c r="V9" i="3"/>
  <c r="G12" i="3"/>
  <c r="G4" i="3"/>
  <c r="G16" i="3"/>
  <c r="G8" i="3"/>
  <c r="F71" i="2"/>
  <c r="Y5" i="3"/>
  <c r="H68" i="2"/>
  <c r="M22" i="2"/>
  <c r="B22" i="2"/>
  <c r="I22" i="2"/>
  <c r="G22" i="2"/>
  <c r="H22" i="2" s="1"/>
  <c r="E22" i="2"/>
  <c r="F22" i="2" s="1"/>
  <c r="A23" i="2"/>
  <c r="C22" i="2"/>
  <c r="D22" i="2" s="1"/>
  <c r="F17" i="3"/>
  <c r="F18" i="3" s="1"/>
  <c r="F20" i="3" s="1"/>
  <c r="G76" i="2"/>
  <c r="M17" i="3" s="1"/>
  <c r="G80" i="2"/>
  <c r="G69" i="2"/>
  <c r="G72" i="2"/>
  <c r="G74" i="2"/>
  <c r="G70" i="2"/>
  <c r="H16" i="3" l="1"/>
  <c r="H4" i="3"/>
  <c r="H8" i="3"/>
  <c r="H12" i="3"/>
  <c r="G17" i="3"/>
  <c r="G18" i="3" s="1"/>
  <c r="G20" i="3" s="1"/>
  <c r="G5" i="3"/>
  <c r="G6" i="3" s="1"/>
  <c r="G13" i="3"/>
  <c r="G14" i="3" s="1"/>
  <c r="H76" i="2"/>
  <c r="N17" i="3" s="1"/>
  <c r="H80" i="2"/>
  <c r="H70" i="2"/>
  <c r="H69" i="2"/>
  <c r="H72" i="2"/>
  <c r="H74" i="2"/>
  <c r="G71" i="2"/>
  <c r="Z5" i="3"/>
  <c r="G75" i="2"/>
  <c r="O13" i="3"/>
  <c r="I68" i="2"/>
  <c r="G23" i="2"/>
  <c r="H23" i="2" s="1"/>
  <c r="E23" i="2"/>
  <c r="F23" i="2" s="1"/>
  <c r="A24" i="2"/>
  <c r="C23" i="2"/>
  <c r="D23" i="2" s="1"/>
  <c r="M23" i="2"/>
  <c r="B23" i="2"/>
  <c r="I23" i="2"/>
  <c r="G73" i="2"/>
  <c r="W9" i="3"/>
  <c r="G9" i="3"/>
  <c r="G10" i="3" s="1"/>
  <c r="H71" i="2" l="1"/>
  <c r="AA5" i="3"/>
  <c r="H5" i="3"/>
  <c r="H6" i="3" s="1"/>
  <c r="I76" i="2"/>
  <c r="O17" i="3" s="1"/>
  <c r="I80" i="2"/>
  <c r="I72" i="2"/>
  <c r="I70" i="2"/>
  <c r="I74" i="2"/>
  <c r="I69" i="2"/>
  <c r="H9" i="3"/>
  <c r="H10" i="3" s="1"/>
  <c r="J68" i="2"/>
  <c r="E24" i="2"/>
  <c r="F24" i="2" s="1"/>
  <c r="A25" i="2"/>
  <c r="C24" i="2"/>
  <c r="D24" i="2" s="1"/>
  <c r="M24" i="2"/>
  <c r="B24" i="2"/>
  <c r="I24" i="2"/>
  <c r="G24" i="2"/>
  <c r="H24" i="2" s="1"/>
  <c r="H73" i="2"/>
  <c r="X9" i="3"/>
  <c r="H13" i="3"/>
  <c r="H14" i="3" s="1"/>
  <c r="H75" i="2"/>
  <c r="P13" i="3"/>
  <c r="I12" i="3"/>
  <c r="I16" i="3"/>
  <c r="I18" i="3" s="1"/>
  <c r="I20" i="3" s="1"/>
  <c r="I8" i="3"/>
  <c r="I4" i="3"/>
  <c r="H17" i="3"/>
  <c r="H18" i="3" s="1"/>
  <c r="H20" i="3" s="1"/>
  <c r="A26" i="2" l="1"/>
  <c r="C25" i="2"/>
  <c r="D25" i="2" s="1"/>
  <c r="K68" i="2"/>
  <c r="M25" i="2"/>
  <c r="B25" i="2"/>
  <c r="I25" i="2"/>
  <c r="G25" i="2"/>
  <c r="H25" i="2" s="1"/>
  <c r="E25" i="2"/>
  <c r="F25" i="2" s="1"/>
  <c r="I73" i="2"/>
  <c r="Y9" i="3"/>
  <c r="I71" i="2"/>
  <c r="AB5" i="3"/>
  <c r="I13" i="3"/>
  <c r="I14" i="3" s="1"/>
  <c r="J80" i="2"/>
  <c r="J70" i="2"/>
  <c r="J72" i="2"/>
  <c r="J74" i="2"/>
  <c r="J76" i="2"/>
  <c r="P17" i="3" s="1"/>
  <c r="J69" i="2"/>
  <c r="J8" i="3"/>
  <c r="J12" i="3"/>
  <c r="J4" i="3"/>
  <c r="J16" i="3"/>
  <c r="J18" i="3" s="1"/>
  <c r="J20" i="3" s="1"/>
  <c r="I9" i="3"/>
  <c r="I10" i="3" s="1"/>
  <c r="I5" i="3"/>
  <c r="I6" i="3" s="1"/>
  <c r="I75" i="2"/>
  <c r="Q13" i="3"/>
  <c r="M26" i="2" l="1"/>
  <c r="B26" i="2"/>
  <c r="L68" i="2"/>
  <c r="I26" i="2"/>
  <c r="G26" i="2"/>
  <c r="H26" i="2" s="1"/>
  <c r="E26" i="2"/>
  <c r="F26" i="2" s="1"/>
  <c r="A27" i="2"/>
  <c r="C26" i="2"/>
  <c r="D26" i="2" s="1"/>
  <c r="J9" i="3"/>
  <c r="J10" i="3" s="1"/>
  <c r="J73" i="2"/>
  <c r="Z9" i="3"/>
  <c r="J71" i="2"/>
  <c r="AC5" i="3"/>
  <c r="J13" i="3"/>
  <c r="J14" i="3" s="1"/>
  <c r="K8" i="3"/>
  <c r="K16" i="3"/>
  <c r="K18" i="3" s="1"/>
  <c r="K20" i="3" s="1"/>
  <c r="K4" i="3"/>
  <c r="K12" i="3"/>
  <c r="K14" i="3" s="1"/>
  <c r="K69" i="2"/>
  <c r="K74" i="2"/>
  <c r="K70" i="2"/>
  <c r="K76" i="2"/>
  <c r="Q17" i="3" s="1"/>
  <c r="K72" i="2"/>
  <c r="K80" i="2"/>
  <c r="J75" i="2"/>
  <c r="R13" i="3"/>
  <c r="J5" i="3"/>
  <c r="J6" i="3" s="1"/>
  <c r="K5" i="3" l="1"/>
  <c r="K6" i="3" s="1"/>
  <c r="L80" i="2"/>
  <c r="L72" i="2"/>
  <c r="L74" i="2"/>
  <c r="L70" i="2"/>
  <c r="L76" i="2"/>
  <c r="R17" i="3" s="1"/>
  <c r="L69" i="2"/>
  <c r="K75" i="2"/>
  <c r="S13" i="3"/>
  <c r="K73" i="2"/>
  <c r="AA9" i="3"/>
  <c r="K71" i="2"/>
  <c r="AD5" i="3"/>
  <c r="M68" i="2"/>
  <c r="G27" i="2"/>
  <c r="H27" i="2" s="1"/>
  <c r="E27" i="2"/>
  <c r="F27" i="2" s="1"/>
  <c r="A28" i="2"/>
  <c r="C27" i="2"/>
  <c r="D27" i="2" s="1"/>
  <c r="M27" i="2"/>
  <c r="B27" i="2"/>
  <c r="I27" i="2"/>
  <c r="L16" i="3"/>
  <c r="L18" i="3" s="1"/>
  <c r="L20" i="3" s="1"/>
  <c r="L8" i="3"/>
  <c r="L12" i="3"/>
  <c r="L14" i="3" s="1"/>
  <c r="L4" i="3"/>
  <c r="K9" i="3"/>
  <c r="K10" i="3" s="1"/>
  <c r="L75" i="2" l="1"/>
  <c r="T13" i="3"/>
  <c r="L73" i="2"/>
  <c r="AB9" i="3"/>
  <c r="M4" i="3"/>
  <c r="M12" i="3"/>
  <c r="M14" i="3" s="1"/>
  <c r="M8" i="3"/>
  <c r="M16" i="3"/>
  <c r="M18" i="3" s="1"/>
  <c r="M20" i="3" s="1"/>
  <c r="L71" i="2"/>
  <c r="AE5" i="3"/>
  <c r="M69" i="2"/>
  <c r="M74" i="2"/>
  <c r="M76" i="2"/>
  <c r="S17" i="3" s="1"/>
  <c r="M80" i="2"/>
  <c r="M72" i="2"/>
  <c r="M70" i="2"/>
  <c r="L5" i="3"/>
  <c r="L6" i="3" s="1"/>
  <c r="E28" i="2"/>
  <c r="F28" i="2" s="1"/>
  <c r="A29" i="2"/>
  <c r="C28" i="2"/>
  <c r="D28" i="2" s="1"/>
  <c r="M28" i="2"/>
  <c r="B28" i="2"/>
  <c r="I28" i="2"/>
  <c r="N68" i="2"/>
  <c r="G28" i="2"/>
  <c r="H28" i="2" s="1"/>
  <c r="L9" i="3"/>
  <c r="L10" i="3" s="1"/>
  <c r="M73" i="2" l="1"/>
  <c r="AC9" i="3"/>
  <c r="M5" i="3"/>
  <c r="M6" i="3" s="1"/>
  <c r="N74" i="2"/>
  <c r="N76" i="2"/>
  <c r="T17" i="3" s="1"/>
  <c r="N80" i="2"/>
  <c r="N72" i="2"/>
  <c r="N69" i="2"/>
  <c r="N70" i="2"/>
  <c r="M9" i="3"/>
  <c r="M10" i="3" s="1"/>
  <c r="A30" i="2"/>
  <c r="C29" i="2"/>
  <c r="D29" i="2" s="1"/>
  <c r="M29" i="2"/>
  <c r="B29" i="2"/>
  <c r="I29" i="2"/>
  <c r="G29" i="2"/>
  <c r="H29" i="2" s="1"/>
  <c r="O68" i="2"/>
  <c r="E29" i="2"/>
  <c r="F29" i="2" s="1"/>
  <c r="M75" i="2"/>
  <c r="U13" i="3"/>
  <c r="N12" i="3"/>
  <c r="N14" i="3" s="1"/>
  <c r="N16" i="3"/>
  <c r="N18" i="3" s="1"/>
  <c r="N20" i="3" s="1"/>
  <c r="N8" i="3"/>
  <c r="N4" i="3"/>
  <c r="M71" i="2"/>
  <c r="AF5" i="3"/>
  <c r="P68" i="2" l="1"/>
  <c r="M30" i="2"/>
  <c r="B30" i="2"/>
  <c r="I30" i="2"/>
  <c r="G30" i="2"/>
  <c r="H30" i="2" s="1"/>
  <c r="E30" i="2"/>
  <c r="F30" i="2" s="1"/>
  <c r="A31" i="2"/>
  <c r="C30" i="2"/>
  <c r="D30" i="2" s="1"/>
  <c r="N73" i="2"/>
  <c r="AD9" i="3"/>
  <c r="O76" i="2"/>
  <c r="U17" i="3" s="1"/>
  <c r="O80" i="2"/>
  <c r="O72" i="2"/>
  <c r="O69" i="2"/>
  <c r="O74" i="2"/>
  <c r="O70" i="2"/>
  <c r="N71" i="2"/>
  <c r="AG5" i="3"/>
  <c r="N75" i="2"/>
  <c r="V13" i="3"/>
  <c r="N5" i="3"/>
  <c r="N6" i="3" s="1"/>
  <c r="N9" i="3"/>
  <c r="N10" i="3" s="1"/>
  <c r="O4" i="3"/>
  <c r="O8" i="3"/>
  <c r="O16" i="3"/>
  <c r="O18" i="3" s="1"/>
  <c r="O20" i="3" s="1"/>
  <c r="O12" i="3"/>
  <c r="O14" i="3" s="1"/>
  <c r="Q68" i="2" l="1"/>
  <c r="G31" i="2"/>
  <c r="H31" i="2" s="1"/>
  <c r="E31" i="2"/>
  <c r="F31" i="2" s="1"/>
  <c r="A32" i="2"/>
  <c r="C31" i="2"/>
  <c r="D31" i="2" s="1"/>
  <c r="M31" i="2"/>
  <c r="B31" i="2"/>
  <c r="I31" i="2"/>
  <c r="O71" i="2"/>
  <c r="AH5" i="3"/>
  <c r="O75" i="2"/>
  <c r="W13" i="3"/>
  <c r="O73" i="2"/>
  <c r="AE9" i="3"/>
  <c r="O9" i="3"/>
  <c r="O10" i="3" s="1"/>
  <c r="O5" i="3"/>
  <c r="O6" i="3" s="1"/>
  <c r="P4" i="3"/>
  <c r="P8" i="3"/>
  <c r="P12" i="3"/>
  <c r="P14" i="3" s="1"/>
  <c r="P16" i="3"/>
  <c r="P18" i="3" s="1"/>
  <c r="P20" i="3" s="1"/>
  <c r="P76" i="2"/>
  <c r="V17" i="3" s="1"/>
  <c r="P70" i="2"/>
  <c r="P80" i="2"/>
  <c r="P74" i="2"/>
  <c r="P72" i="2"/>
  <c r="P69" i="2"/>
  <c r="R68" i="2" l="1"/>
  <c r="E32" i="2"/>
  <c r="F32" i="2" s="1"/>
  <c r="A33" i="2"/>
  <c r="C32" i="2"/>
  <c r="D32" i="2" s="1"/>
  <c r="M32" i="2"/>
  <c r="B32" i="2"/>
  <c r="I32" i="2"/>
  <c r="G32" i="2"/>
  <c r="H32" i="2" s="1"/>
  <c r="P9" i="3"/>
  <c r="P10" i="3" s="1"/>
  <c r="P75" i="2"/>
  <c r="X13" i="3"/>
  <c r="Q16" i="3"/>
  <c r="Q18" i="3" s="1"/>
  <c r="Q20" i="3" s="1"/>
  <c r="Q12" i="3"/>
  <c r="Q14" i="3" s="1"/>
  <c r="Q8" i="3"/>
  <c r="Q4" i="3"/>
  <c r="P5" i="3"/>
  <c r="P6" i="3" s="1"/>
  <c r="P73" i="2"/>
  <c r="AF9" i="3"/>
  <c r="P71" i="2"/>
  <c r="AI5" i="3"/>
  <c r="Q76" i="2"/>
  <c r="W17" i="3" s="1"/>
  <c r="Q80" i="2"/>
  <c r="Q72" i="2"/>
  <c r="Q74" i="2"/>
  <c r="Q70" i="2"/>
  <c r="Q69" i="2"/>
  <c r="Q9" i="3" l="1"/>
  <c r="Q10" i="3" s="1"/>
  <c r="R12" i="3"/>
  <c r="R14" i="3" s="1"/>
  <c r="AL8" i="3"/>
  <c r="R4" i="3"/>
  <c r="R16" i="3"/>
  <c r="R18" i="3" s="1"/>
  <c r="R20" i="3" s="1"/>
  <c r="R8" i="3"/>
  <c r="Q75" i="2"/>
  <c r="Y13" i="3"/>
  <c r="A34" i="2"/>
  <c r="C33" i="2"/>
  <c r="D33" i="2" s="1"/>
  <c r="M33" i="2"/>
  <c r="B33" i="2"/>
  <c r="I33" i="2"/>
  <c r="S68" i="2"/>
  <c r="G33" i="2"/>
  <c r="H33" i="2" s="1"/>
  <c r="E33" i="2"/>
  <c r="F33" i="2" s="1"/>
  <c r="Q5" i="3"/>
  <c r="Q6" i="3" s="1"/>
  <c r="Q71" i="2"/>
  <c r="AJ5" i="3"/>
  <c r="Q73" i="2"/>
  <c r="AG9" i="3"/>
  <c r="R76" i="2"/>
  <c r="X17" i="3" s="1"/>
  <c r="R70" i="2"/>
  <c r="R80" i="2"/>
  <c r="R72" i="2"/>
  <c r="R74" i="2"/>
  <c r="R69" i="2"/>
  <c r="R9" i="3" l="1"/>
  <c r="R10" i="3" s="1"/>
  <c r="S8" i="3"/>
  <c r="S10" i="3" s="1"/>
  <c r="S16" i="3"/>
  <c r="S18" i="3" s="1"/>
  <c r="S20" i="3" s="1"/>
  <c r="S12" i="3"/>
  <c r="S14" i="3" s="1"/>
  <c r="S4" i="3"/>
  <c r="S80" i="2"/>
  <c r="S69" i="2"/>
  <c r="S74" i="2"/>
  <c r="S70" i="2"/>
  <c r="S71" i="2" s="1"/>
  <c r="S76" i="2"/>
  <c r="Y17" i="3" s="1"/>
  <c r="S72" i="2"/>
  <c r="R5" i="3"/>
  <c r="R6" i="3" s="1"/>
  <c r="M34" i="2"/>
  <c r="B34" i="2"/>
  <c r="I34" i="2"/>
  <c r="G34" i="2"/>
  <c r="H34" i="2" s="1"/>
  <c r="T68" i="2"/>
  <c r="E34" i="2"/>
  <c r="F34" i="2" s="1"/>
  <c r="A35" i="2"/>
  <c r="C34" i="2"/>
  <c r="D34" i="2" s="1"/>
  <c r="R71" i="2"/>
  <c r="AK5" i="3"/>
  <c r="R75" i="2"/>
  <c r="Z13" i="3"/>
  <c r="R73" i="2"/>
  <c r="AH9" i="3"/>
  <c r="S73" i="2" l="1"/>
  <c r="AI9" i="3"/>
  <c r="T80" i="2"/>
  <c r="T72" i="2"/>
  <c r="T74" i="2"/>
  <c r="T70" i="2"/>
  <c r="T71" i="2" s="1"/>
  <c r="T76" i="2"/>
  <c r="Z17" i="3" s="1"/>
  <c r="T69" i="2"/>
  <c r="G35" i="2"/>
  <c r="H35" i="2" s="1"/>
  <c r="U68" i="2"/>
  <c r="E35" i="2"/>
  <c r="F35" i="2" s="1"/>
  <c r="A36" i="2"/>
  <c r="C35" i="2"/>
  <c r="D35" i="2" s="1"/>
  <c r="M35" i="2"/>
  <c r="B35" i="2"/>
  <c r="I35" i="2"/>
  <c r="S5" i="3"/>
  <c r="S6" i="3" s="1"/>
  <c r="S75" i="2"/>
  <c r="AA13" i="3"/>
  <c r="T16" i="3"/>
  <c r="T18" i="3" s="1"/>
  <c r="T20" i="3" s="1"/>
  <c r="T12" i="3"/>
  <c r="T14" i="3" s="1"/>
  <c r="T8" i="3"/>
  <c r="T10" i="3" s="1"/>
  <c r="T4" i="3"/>
  <c r="U4" i="3" l="1"/>
  <c r="U8" i="3"/>
  <c r="U10" i="3" s="1"/>
  <c r="U16" i="3"/>
  <c r="U18" i="3" s="1"/>
  <c r="U20" i="3" s="1"/>
  <c r="U12" i="3"/>
  <c r="U14" i="3" s="1"/>
  <c r="T75" i="2"/>
  <c r="AB13" i="3"/>
  <c r="V68" i="2"/>
  <c r="G36" i="2"/>
  <c r="H36" i="2" s="1"/>
  <c r="E36" i="2"/>
  <c r="F36" i="2" s="1"/>
  <c r="C36" i="2"/>
  <c r="D36" i="2" s="1"/>
  <c r="A37" i="2"/>
  <c r="B36" i="2"/>
  <c r="M36" i="2"/>
  <c r="I36" i="2"/>
  <c r="T73" i="2"/>
  <c r="AJ9" i="3"/>
  <c r="U69" i="2"/>
  <c r="U74" i="2"/>
  <c r="U70" i="2"/>
  <c r="U71" i="2" s="1"/>
  <c r="U80" i="2"/>
  <c r="U76" i="2"/>
  <c r="AA17" i="3" s="1"/>
  <c r="U72" i="2"/>
  <c r="T5" i="3"/>
  <c r="T6" i="3" s="1"/>
  <c r="U73" i="2" l="1"/>
  <c r="AK9" i="3"/>
  <c r="E37" i="2"/>
  <c r="F37" i="2" s="1"/>
  <c r="W68" i="2"/>
  <c r="C37" i="2"/>
  <c r="D37" i="2" s="1"/>
  <c r="A38" i="2"/>
  <c r="B37" i="2"/>
  <c r="M37" i="2"/>
  <c r="I37" i="2"/>
  <c r="G37" i="2"/>
  <c r="H37" i="2" s="1"/>
  <c r="V74" i="2"/>
  <c r="V70" i="2"/>
  <c r="V71" i="2" s="1"/>
  <c r="V80" i="2"/>
  <c r="V76" i="2"/>
  <c r="AB17" i="3" s="1"/>
  <c r="V69" i="2"/>
  <c r="V72" i="2"/>
  <c r="U75" i="2"/>
  <c r="AC13" i="3"/>
  <c r="V12" i="3"/>
  <c r="V14" i="3" s="1"/>
  <c r="V16" i="3"/>
  <c r="V18" i="3" s="1"/>
  <c r="V20" i="3" s="1"/>
  <c r="V4" i="3"/>
  <c r="V6" i="3" s="1"/>
  <c r="V8" i="3"/>
  <c r="V10" i="3" s="1"/>
  <c r="U5" i="3"/>
  <c r="U6" i="3" s="1"/>
  <c r="V73" i="2" l="1"/>
  <c r="AL9" i="3"/>
  <c r="W8" i="3"/>
  <c r="W10" i="3" s="1"/>
  <c r="W4" i="3"/>
  <c r="W6" i="3" s="1"/>
  <c r="W12" i="3"/>
  <c r="W14" i="3" s="1"/>
  <c r="W16" i="3"/>
  <c r="W18" i="3" s="1"/>
  <c r="W20" i="3" s="1"/>
  <c r="X68" i="2"/>
  <c r="A39" i="2"/>
  <c r="M38" i="2"/>
  <c r="B38" i="2"/>
  <c r="E38" i="2"/>
  <c r="F38" i="2" s="1"/>
  <c r="C38" i="2"/>
  <c r="D38" i="2" s="1"/>
  <c r="I38" i="2"/>
  <c r="G38" i="2"/>
  <c r="H38" i="2" s="1"/>
  <c r="V75" i="2"/>
  <c r="AD13" i="3"/>
  <c r="W76" i="2"/>
  <c r="AC17" i="3" s="1"/>
  <c r="W69" i="2"/>
  <c r="W70" i="2"/>
  <c r="W71" i="2" s="1"/>
  <c r="W72" i="2"/>
  <c r="W73" i="2" s="1"/>
  <c r="W80" i="2"/>
  <c r="W74" i="2"/>
  <c r="W75" i="2" l="1"/>
  <c r="AE13" i="3"/>
  <c r="X70" i="2"/>
  <c r="X71" i="2" s="1"/>
  <c r="X76" i="2"/>
  <c r="AD17" i="3" s="1"/>
  <c r="X69" i="2"/>
  <c r="X72" i="2"/>
  <c r="X73" i="2" s="1"/>
  <c r="X80" i="2"/>
  <c r="X74" i="2"/>
  <c r="X16" i="3"/>
  <c r="X18" i="3" s="1"/>
  <c r="X20" i="3" s="1"/>
  <c r="X8" i="3"/>
  <c r="X10" i="3" s="1"/>
  <c r="X4" i="3"/>
  <c r="X6" i="3" s="1"/>
  <c r="X12" i="3"/>
  <c r="X14" i="3" s="1"/>
  <c r="I39" i="2"/>
  <c r="E39" i="2"/>
  <c r="F39" i="2" s="1"/>
  <c r="Y68" i="2"/>
  <c r="C39" i="2"/>
  <c r="D39" i="2" s="1"/>
  <c r="B39" i="2"/>
  <c r="A40" i="2"/>
  <c r="M39" i="2"/>
  <c r="G39" i="2"/>
  <c r="H39" i="2" s="1"/>
  <c r="Y76" i="2" l="1"/>
  <c r="AE17" i="3" s="1"/>
  <c r="Y80" i="2"/>
  <c r="Y72" i="2"/>
  <c r="Y73" i="2" s="1"/>
  <c r="Y69" i="2"/>
  <c r="Y70" i="2"/>
  <c r="Y71" i="2" s="1"/>
  <c r="Y74" i="2"/>
  <c r="X75" i="2"/>
  <c r="AF13" i="3"/>
  <c r="Y16" i="3"/>
  <c r="Y18" i="3" s="1"/>
  <c r="Y20" i="3" s="1"/>
  <c r="Y4" i="3"/>
  <c r="Y6" i="3" s="1"/>
  <c r="Y8" i="3"/>
  <c r="Y10" i="3" s="1"/>
  <c r="Y12" i="3"/>
  <c r="Y14" i="3" s="1"/>
  <c r="G40" i="2"/>
  <c r="H40" i="2" s="1"/>
  <c r="Z68" i="2"/>
  <c r="E40" i="2"/>
  <c r="F40" i="2" s="1"/>
  <c r="C40" i="2"/>
  <c r="D40" i="2" s="1"/>
  <c r="B40" i="2"/>
  <c r="A41" i="2"/>
  <c r="M40" i="2"/>
  <c r="I40" i="2"/>
  <c r="Z12" i="3" l="1"/>
  <c r="Z14" i="3" s="1"/>
  <c r="Z4" i="3"/>
  <c r="Z6" i="3" s="1"/>
  <c r="Z16" i="3"/>
  <c r="Z18" i="3" s="1"/>
  <c r="Z20" i="3" s="1"/>
  <c r="Z8" i="3"/>
  <c r="Z10" i="3" s="1"/>
  <c r="Z70" i="2"/>
  <c r="Z71" i="2" s="1"/>
  <c r="Z76" i="2"/>
  <c r="AF17" i="3" s="1"/>
  <c r="Z80" i="2"/>
  <c r="Z72" i="2"/>
  <c r="Z73" i="2" s="1"/>
  <c r="Z69" i="2"/>
  <c r="Z74" i="2"/>
  <c r="Y75" i="2"/>
  <c r="AG13" i="3"/>
  <c r="E41" i="2"/>
  <c r="F41" i="2" s="1"/>
  <c r="AA68" i="2"/>
  <c r="G41" i="2"/>
  <c r="H41" i="2" s="1"/>
  <c r="C41" i="2"/>
  <c r="D41" i="2" s="1"/>
  <c r="B41" i="2"/>
  <c r="A42" i="2"/>
  <c r="M41" i="2"/>
  <c r="I41" i="2"/>
  <c r="AA76" i="2" l="1"/>
  <c r="AA80" i="2"/>
  <c r="AA69" i="2"/>
  <c r="AA74" i="2"/>
  <c r="AA72" i="2"/>
  <c r="AA73" i="2" s="1"/>
  <c r="AA70" i="2"/>
  <c r="AA71" i="2" s="1"/>
  <c r="AB68" i="2"/>
  <c r="A43" i="2"/>
  <c r="C42" i="2"/>
  <c r="D42" i="2" s="1"/>
  <c r="M42" i="2"/>
  <c r="B42" i="2"/>
  <c r="I42" i="2"/>
  <c r="G42" i="2"/>
  <c r="H42" i="2" s="1"/>
  <c r="E42" i="2"/>
  <c r="F42" i="2" s="1"/>
  <c r="Z75" i="2"/>
  <c r="AH13" i="3"/>
  <c r="AA4" i="3"/>
  <c r="AA6" i="3" s="1"/>
  <c r="AA12" i="3"/>
  <c r="AA14" i="3" s="1"/>
  <c r="AA16" i="3"/>
  <c r="AA18" i="3" s="1"/>
  <c r="AA20" i="3" s="1"/>
  <c r="AA8" i="3"/>
  <c r="AA10" i="3" s="1"/>
  <c r="AB80" i="2" l="1"/>
  <c r="AB72" i="2"/>
  <c r="AB73" i="2" s="1"/>
  <c r="AB74" i="2"/>
  <c r="AB70" i="2"/>
  <c r="AB71" i="2" s="1"/>
  <c r="AB76" i="2"/>
  <c r="AB69" i="2"/>
  <c r="AA75" i="2"/>
  <c r="AI13" i="3"/>
  <c r="AB16" i="3"/>
  <c r="AB18" i="3" s="1"/>
  <c r="AB20" i="3" s="1"/>
  <c r="AB8" i="3"/>
  <c r="AB10" i="3" s="1"/>
  <c r="AB4" i="3"/>
  <c r="AB6" i="3" s="1"/>
  <c r="AB12" i="3"/>
  <c r="AB14" i="3" s="1"/>
  <c r="I43" i="2"/>
  <c r="G43" i="2"/>
  <c r="H43" i="2" s="1"/>
  <c r="AC68" i="2"/>
  <c r="A44" i="2"/>
  <c r="M43" i="2"/>
  <c r="E43" i="2"/>
  <c r="F43" i="2" s="1"/>
  <c r="C43" i="2"/>
  <c r="D43" i="2" s="1"/>
  <c r="B43" i="2"/>
  <c r="AC80" i="2" l="1"/>
  <c r="AC69" i="2"/>
  <c r="AC74" i="2"/>
  <c r="AC72" i="2"/>
  <c r="AC73" i="2" s="1"/>
  <c r="AC76" i="2"/>
  <c r="AC70" i="2"/>
  <c r="AC71" i="2" s="1"/>
  <c r="AC12" i="3"/>
  <c r="AC14" i="3" s="1"/>
  <c r="AC8" i="3"/>
  <c r="AC10" i="3" s="1"/>
  <c r="AC4" i="3"/>
  <c r="AC6" i="3" s="1"/>
  <c r="AC16" i="3"/>
  <c r="AC18" i="3" s="1"/>
  <c r="AC20" i="3" s="1"/>
  <c r="AB75" i="2"/>
  <c r="AJ13" i="3"/>
  <c r="AD68" i="2"/>
  <c r="G44" i="2"/>
  <c r="H44" i="2" s="1"/>
  <c r="E44" i="2"/>
  <c r="F44" i="2" s="1"/>
  <c r="A45" i="2"/>
  <c r="M44" i="2"/>
  <c r="I44" i="2"/>
  <c r="C44" i="2"/>
  <c r="D44" i="2" s="1"/>
  <c r="B44" i="2"/>
  <c r="AD74" i="2" l="1"/>
  <c r="AD76" i="2"/>
  <c r="AD70" i="2"/>
  <c r="AD71" i="2" s="1"/>
  <c r="AD72" i="2"/>
  <c r="AD73" i="2" s="1"/>
  <c r="AD80" i="2"/>
  <c r="AD69" i="2"/>
  <c r="AC75" i="2"/>
  <c r="AK13" i="3"/>
  <c r="AD12" i="3"/>
  <c r="AD14" i="3" s="1"/>
  <c r="AD8" i="3"/>
  <c r="AD10" i="3" s="1"/>
  <c r="AD16" i="3"/>
  <c r="AD18" i="3" s="1"/>
  <c r="AD20" i="3" s="1"/>
  <c r="AD4" i="3"/>
  <c r="AD6" i="3" s="1"/>
  <c r="E45" i="2"/>
  <c r="F45" i="2" s="1"/>
  <c r="A46" i="2"/>
  <c r="C45" i="2"/>
  <c r="D45" i="2" s="1"/>
  <c r="B45" i="2"/>
  <c r="M45" i="2"/>
  <c r="I45" i="2"/>
  <c r="G45" i="2"/>
  <c r="H45" i="2" s="1"/>
  <c r="AE68" i="2"/>
  <c r="AF68" i="2" l="1"/>
  <c r="A47" i="2"/>
  <c r="C46" i="2"/>
  <c r="D46" i="2" s="1"/>
  <c r="M46" i="2"/>
  <c r="B46" i="2"/>
  <c r="I46" i="2"/>
  <c r="E46" i="2"/>
  <c r="F46" i="2" s="1"/>
  <c r="G46" i="2"/>
  <c r="H46" i="2" s="1"/>
  <c r="AE12" i="3"/>
  <c r="AE14" i="3" s="1"/>
  <c r="AE8" i="3"/>
  <c r="AE10" i="3" s="1"/>
  <c r="AE16" i="3"/>
  <c r="AE18" i="3" s="1"/>
  <c r="AE20" i="3" s="1"/>
  <c r="AE4" i="3"/>
  <c r="AE6" i="3" s="1"/>
  <c r="AE76" i="2"/>
  <c r="AE70" i="2"/>
  <c r="AE71" i="2" s="1"/>
  <c r="AE80" i="2"/>
  <c r="AE72" i="2"/>
  <c r="AE73" i="2" s="1"/>
  <c r="AE74" i="2"/>
  <c r="AE75" i="2" s="1"/>
  <c r="AE69" i="2"/>
  <c r="AD75" i="2"/>
  <c r="AL13" i="3"/>
  <c r="AF4" i="3" l="1"/>
  <c r="AF6" i="3" s="1"/>
  <c r="AF8" i="3"/>
  <c r="AF10" i="3" s="1"/>
  <c r="AF12" i="3"/>
  <c r="AF14" i="3" s="1"/>
  <c r="AF16" i="3"/>
  <c r="AF18" i="3" s="1"/>
  <c r="AF20" i="3" s="1"/>
  <c r="I47" i="2"/>
  <c r="G47" i="2"/>
  <c r="H47" i="2" s="1"/>
  <c r="M47" i="2"/>
  <c r="E47" i="2"/>
  <c r="F47" i="2" s="1"/>
  <c r="C47" i="2"/>
  <c r="D47" i="2" s="1"/>
  <c r="B47" i="2"/>
  <c r="AG68" i="2"/>
  <c r="A48" i="2"/>
  <c r="AF70" i="2"/>
  <c r="AF71" i="2" s="1"/>
  <c r="AF76" i="2"/>
  <c r="AF80" i="2"/>
  <c r="AF74" i="2"/>
  <c r="AF75" i="2" s="1"/>
  <c r="AF72" i="2"/>
  <c r="AF73" i="2" s="1"/>
  <c r="AF69" i="2"/>
  <c r="G48" i="2" l="1"/>
  <c r="H48" i="2" s="1"/>
  <c r="E48" i="2"/>
  <c r="F48" i="2" s="1"/>
  <c r="A49" i="2"/>
  <c r="M48" i="2"/>
  <c r="I48" i="2"/>
  <c r="AI68" i="2"/>
  <c r="AH68" i="2"/>
  <c r="C48" i="2"/>
  <c r="D48" i="2" s="1"/>
  <c r="B48" i="2"/>
  <c r="AG76" i="2"/>
  <c r="AG72" i="2"/>
  <c r="AG73" i="2" s="1"/>
  <c r="AG80" i="2"/>
  <c r="AG74" i="2"/>
  <c r="AG75" i="2" s="1"/>
  <c r="AG70" i="2"/>
  <c r="AG71" i="2" s="1"/>
  <c r="AG69" i="2"/>
  <c r="AG4" i="3"/>
  <c r="AG6" i="3" s="1"/>
  <c r="AG8" i="3"/>
  <c r="AG10" i="3" s="1"/>
  <c r="AG12" i="3"/>
  <c r="AG14" i="3" s="1"/>
  <c r="AH4" i="3" l="1"/>
  <c r="AH6" i="3" s="1"/>
  <c r="AH12" i="3"/>
  <c r="AH8" i="3"/>
  <c r="AH10" i="3" s="1"/>
  <c r="AH70" i="2"/>
  <c r="AH71" i="2" s="1"/>
  <c r="AH76" i="2"/>
  <c r="AH72" i="2"/>
  <c r="AH73" i="2" s="1"/>
  <c r="AH80" i="2"/>
  <c r="AH74" i="2"/>
  <c r="AH75" i="2" s="1"/>
  <c r="AH69" i="2"/>
  <c r="E49" i="2"/>
  <c r="F49" i="2" s="1"/>
  <c r="A50" i="2"/>
  <c r="C49" i="2"/>
  <c r="D49" i="2" s="1"/>
  <c r="M49" i="2"/>
  <c r="I49" i="2"/>
  <c r="G49" i="2"/>
  <c r="H49" i="2" s="1"/>
  <c r="B49" i="2"/>
  <c r="AI76" i="2"/>
  <c r="AI80" i="2"/>
  <c r="AI69" i="2"/>
  <c r="AI74" i="2"/>
  <c r="AI75" i="2" s="1"/>
  <c r="AI70" i="2"/>
  <c r="AI71" i="2" s="1"/>
  <c r="AI72" i="2"/>
  <c r="AI73" i="2" s="1"/>
  <c r="A51" i="2" l="1"/>
  <c r="C50" i="2"/>
  <c r="D50" i="2" s="1"/>
  <c r="M50" i="2"/>
  <c r="B50" i="2"/>
  <c r="AJ68" i="2"/>
  <c r="I50" i="2"/>
  <c r="E50" i="2"/>
  <c r="F50" i="2" s="1"/>
  <c r="G50" i="2"/>
  <c r="H50" i="2" s="1"/>
  <c r="AI12" i="3"/>
  <c r="AI8" i="3"/>
  <c r="AI10" i="3" s="1"/>
  <c r="AI4" i="3"/>
  <c r="AI6" i="3" s="1"/>
  <c r="AJ8" i="3"/>
  <c r="AJ10" i="3" s="1"/>
  <c r="AJ4" i="3"/>
  <c r="AJ6" i="3" s="1"/>
  <c r="AJ12" i="3"/>
  <c r="AJ80" i="2" l="1"/>
  <c r="AJ76" i="2"/>
  <c r="AJ72" i="2"/>
  <c r="AJ73" i="2" s="1"/>
  <c r="AJ74" i="2"/>
  <c r="AJ75" i="2" s="1"/>
  <c r="AJ69" i="2"/>
  <c r="AJ70" i="2"/>
  <c r="AJ71" i="2" s="1"/>
  <c r="I51" i="2"/>
  <c r="G51" i="2"/>
  <c r="H51" i="2" s="1"/>
  <c r="E51" i="2"/>
  <c r="F51" i="2" s="1"/>
  <c r="C51" i="2"/>
  <c r="D51" i="2" s="1"/>
  <c r="B51" i="2"/>
  <c r="A52" i="2"/>
  <c r="M51" i="2"/>
  <c r="G52" i="2" l="1"/>
  <c r="H52" i="2" s="1"/>
  <c r="E52" i="2"/>
  <c r="F52" i="2" s="1"/>
  <c r="M52" i="2"/>
  <c r="I52" i="2"/>
  <c r="C52" i="2"/>
  <c r="D52" i="2" s="1"/>
  <c r="B52" i="2"/>
  <c r="A53" i="2"/>
  <c r="AK12" i="3"/>
  <c r="AK4" i="3"/>
  <c r="AK6" i="3" s="1"/>
  <c r="AK8" i="3"/>
  <c r="AK10" i="3" s="1"/>
  <c r="E53" i="2" l="1"/>
  <c r="F53" i="2" s="1"/>
  <c r="A54" i="2"/>
  <c r="C53" i="2"/>
  <c r="D53" i="2" s="1"/>
  <c r="M53" i="2"/>
  <c r="I53" i="2"/>
  <c r="G53" i="2"/>
  <c r="H53" i="2" s="1"/>
  <c r="B53" i="2"/>
  <c r="A55" i="2" l="1"/>
  <c r="C54" i="2"/>
  <c r="D54" i="2" s="1"/>
  <c r="M54" i="2"/>
  <c r="B54" i="2"/>
  <c r="I54" i="2"/>
  <c r="G54" i="2"/>
  <c r="H54" i="2" s="1"/>
  <c r="E54" i="2"/>
  <c r="F54" i="2" s="1"/>
  <c r="I55" i="2" l="1"/>
  <c r="G55" i="2"/>
  <c r="H55" i="2" s="1"/>
  <c r="E55" i="2"/>
  <c r="F55" i="2" s="1"/>
  <c r="C55" i="2"/>
  <c r="D55" i="2" s="1"/>
  <c r="B55" i="2"/>
  <c r="A56" i="2"/>
  <c r="M55" i="2"/>
  <c r="G56" i="2" l="1"/>
  <c r="H56" i="2" s="1"/>
  <c r="E56" i="2"/>
  <c r="F56" i="2" s="1"/>
  <c r="I56" i="2"/>
  <c r="C56" i="2"/>
  <c r="D56" i="2" s="1"/>
  <c r="B56" i="2"/>
  <c r="A57" i="2"/>
  <c r="M56" i="2"/>
  <c r="E57" i="2" l="1"/>
  <c r="F57" i="2" s="1"/>
  <c r="A58" i="2"/>
  <c r="C57" i="2"/>
  <c r="D57" i="2" s="1"/>
  <c r="M57" i="2"/>
  <c r="I57" i="2"/>
  <c r="G57" i="2"/>
  <c r="H57" i="2" s="1"/>
  <c r="B57" i="2"/>
  <c r="A59" i="2" l="1"/>
  <c r="C58" i="2"/>
  <c r="D58" i="2" s="1"/>
  <c r="M58" i="2"/>
  <c r="B58" i="2"/>
  <c r="I58" i="2"/>
  <c r="G58" i="2"/>
  <c r="H58" i="2" s="1"/>
  <c r="E58" i="2"/>
  <c r="F58" i="2" s="1"/>
  <c r="I59" i="2" l="1"/>
  <c r="G59" i="2"/>
  <c r="H59" i="2" s="1"/>
  <c r="C59" i="2"/>
  <c r="D59" i="2" s="1"/>
  <c r="B59" i="2"/>
  <c r="A60" i="2"/>
  <c r="M59" i="2"/>
  <c r="E59" i="2"/>
  <c r="F59" i="2" s="1"/>
  <c r="G60" i="2" l="1"/>
  <c r="H60" i="2" s="1"/>
  <c r="E60" i="2"/>
  <c r="F60" i="2" s="1"/>
  <c r="C60" i="2"/>
  <c r="D60" i="2" s="1"/>
  <c r="B60" i="2"/>
  <c r="A61" i="2"/>
  <c r="M60" i="2"/>
  <c r="I60" i="2"/>
  <c r="E61" i="2" l="1"/>
  <c r="F61" i="2" s="1"/>
  <c r="A62" i="2"/>
  <c r="C61" i="2"/>
  <c r="D61" i="2" s="1"/>
  <c r="I61" i="2"/>
  <c r="G61" i="2"/>
  <c r="H61" i="2" s="1"/>
  <c r="B61" i="2"/>
  <c r="M61" i="2"/>
  <c r="A63" i="2" l="1"/>
  <c r="C62" i="2"/>
  <c r="D62" i="2" s="1"/>
  <c r="M62" i="2"/>
  <c r="B62" i="2"/>
  <c r="I62" i="2"/>
  <c r="G62" i="2"/>
  <c r="H62" i="2" s="1"/>
  <c r="E62" i="2"/>
  <c r="F62" i="2" s="1"/>
  <c r="I63" i="2" l="1"/>
  <c r="G63" i="2"/>
  <c r="H63" i="2" s="1"/>
  <c r="C63" i="2"/>
  <c r="D63" i="2" s="1"/>
  <c r="B63" i="2"/>
  <c r="A64" i="2"/>
  <c r="M63" i="2"/>
  <c r="E63" i="2"/>
  <c r="F63" i="2" s="1"/>
  <c r="G64" i="2" l="1"/>
  <c r="H64" i="2" s="1"/>
  <c r="E64" i="2"/>
  <c r="F64" i="2" s="1"/>
  <c r="C64" i="2"/>
  <c r="D64" i="2" s="1"/>
  <c r="B64" i="2"/>
  <c r="A65" i="2"/>
  <c r="M64" i="2"/>
  <c r="I64" i="2"/>
  <c r="E65" i="2" l="1"/>
  <c r="F65" i="2" s="1"/>
  <c r="A66" i="2"/>
  <c r="C65" i="2"/>
  <c r="D65" i="2" s="1"/>
  <c r="G65" i="2"/>
  <c r="H65" i="2" s="1"/>
  <c r="B65" i="2"/>
  <c r="M65" i="2"/>
  <c r="I65" i="2"/>
  <c r="C66" i="2" l="1"/>
  <c r="D66" i="2" s="1"/>
  <c r="M66" i="2"/>
  <c r="B66" i="2"/>
  <c r="I66" i="2"/>
  <c r="G66" i="2"/>
  <c r="H66" i="2" s="1"/>
  <c r="E66" i="2"/>
  <c r="F66" i="2" s="1"/>
</calcChain>
</file>

<file path=xl/sharedStrings.xml><?xml version="1.0" encoding="utf-8"?>
<sst xmlns="http://schemas.openxmlformats.org/spreadsheetml/2006/main" count="168" uniqueCount="101">
  <si>
    <t>Time taken to gather and sort sheep</t>
  </si>
  <si>
    <t>COST PER DOSE</t>
  </si>
  <si>
    <t>Labour cost per hour</t>
  </si>
  <si>
    <t>Time taken to treat each animal</t>
  </si>
  <si>
    <t>Weight of sheep (kg)</t>
  </si>
  <si>
    <t>Application date</t>
  </si>
  <si>
    <t>Number of sheep to be treated</t>
  </si>
  <si>
    <t>10 to 20</t>
  </si>
  <si>
    <t>Built by C214766</t>
  </si>
  <si>
    <t>Sell out per 5lt</t>
  </si>
  <si>
    <t xml:space="preserve">Cost per dose </t>
  </si>
  <si>
    <t>Weeks cover</t>
  </si>
  <si>
    <t>Cost per dose per week product only</t>
  </si>
  <si>
    <t>Number of doses</t>
  </si>
  <si>
    <t>Total labour time</t>
  </si>
  <si>
    <t>Total labour cost</t>
  </si>
  <si>
    <t>Cost per dose per week incl labour</t>
  </si>
  <si>
    <t>Meat withhold days</t>
  </si>
  <si>
    <t>Meat withhold end</t>
  </si>
  <si>
    <t>Dysect®**</t>
  </si>
  <si>
    <t>Ectofly®***</t>
  </si>
  <si>
    <t>Crovect* 6 - 8 weeks protection, calculations based on 6 weeks</t>
  </si>
  <si>
    <t>Dysect** 8 - 10 weeks protection, calculations based on 8 weeks</t>
  </si>
  <si>
    <t>Ectofly*** 6 - 8 weeks protection, calculations based on 6 weeks</t>
  </si>
  <si>
    <t>CLiK Extra</t>
  </si>
  <si>
    <t>Doses per 5lt</t>
  </si>
  <si>
    <t>CLiK</t>
  </si>
  <si>
    <t>CLiKZiN</t>
  </si>
  <si>
    <t>Crovect</t>
  </si>
  <si>
    <t>Ectofly</t>
  </si>
  <si>
    <t>Dysect</t>
  </si>
  <si>
    <t>Number of days prevention</t>
  </si>
  <si>
    <t>21 to 30</t>
  </si>
  <si>
    <t>31 to 50</t>
  </si>
  <si>
    <t>Over 50</t>
  </si>
  <si>
    <t>Cost per dose</t>
  </si>
  <si>
    <t>Lambs only</t>
  </si>
  <si>
    <t>Ewes and Lambs</t>
  </si>
  <si>
    <t>Ewes only</t>
  </si>
  <si>
    <t>Gather and sort time taken</t>
  </si>
  <si>
    <t>Treatments</t>
  </si>
  <si>
    <t>gather&amp;sort</t>
  </si>
  <si>
    <t>time to treat</t>
  </si>
  <si>
    <t>total time</t>
  </si>
  <si>
    <t>hours</t>
  </si>
  <si>
    <t>product cost</t>
  </si>
  <si>
    <t>total labour cost per lamb</t>
  </si>
  <si>
    <t>cost incl labour</t>
  </si>
  <si>
    <t>Treatment time taken</t>
  </si>
  <si>
    <t xml:space="preserve">Clik </t>
  </si>
  <si>
    <t>LENGTH OF PROTECTION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</si>
  <si>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</si>
  <si>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</si>
  <si>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</si>
  <si>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</si>
  <si>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</si>
  <si>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</si>
  <si>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</si>
  <si>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</si>
  <si>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</si>
  <si>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             *</t>
  </si>
  <si>
    <t>COST OF BLOWFLY STRIKE</t>
  </si>
  <si>
    <t>ANIMALS TREATED</t>
  </si>
  <si>
    <t>WEIGHT OF LAMBS</t>
  </si>
  <si>
    <t>Flock size (ewes)</t>
  </si>
  <si>
    <t>Lambing %</t>
  </si>
  <si>
    <t>Lambs total</t>
  </si>
  <si>
    <t>Mortality rate of struck sheep</t>
  </si>
  <si>
    <t>Strike rate (ewes)</t>
  </si>
  <si>
    <t>Ewes struck</t>
  </si>
  <si>
    <t>Ewes died</t>
  </si>
  <si>
    <t>Strike rate (lambs)</t>
  </si>
  <si>
    <t>Lambs struck</t>
  </si>
  <si>
    <t>Lambs died</t>
  </si>
  <si>
    <t>Average cost of lambs</t>
  </si>
  <si>
    <t>LAMBS</t>
  </si>
  <si>
    <t>EWES</t>
  </si>
  <si>
    <t>TOTAL COST OF FLY STRIKE</t>
  </si>
  <si>
    <t>Total product to treat strike</t>
  </si>
  <si>
    <t>Cost of preventing with CLiK EXTRA</t>
  </si>
  <si>
    <t>Labour cost per strike</t>
  </si>
  <si>
    <t>Cost of preventing with CLiK</t>
  </si>
  <si>
    <t>Cost of preventing with CLiKZiN</t>
  </si>
  <si>
    <t>Total dead ewes cost</t>
  </si>
  <si>
    <t>Total dead lambs cost</t>
  </si>
  <si>
    <r>
      <t xml:space="preserve">                               </t>
    </r>
    <r>
      <rPr>
        <b/>
        <sz val="16"/>
        <color indexed="8"/>
        <rFont val="Helvetica Neue"/>
        <family val="2"/>
        <scheme val="major"/>
      </rPr>
      <t>*</t>
    </r>
  </si>
  <si>
    <t>Coverage up to (single dose)</t>
  </si>
  <si>
    <t>1 hour</t>
  </si>
  <si>
    <t>8 seconds</t>
  </si>
  <si>
    <t>Average cost of replacement ewes</t>
  </si>
  <si>
    <t>† Spreads to areas covered by fleece, other areas may not be protected, including the feet</t>
  </si>
  <si>
    <t>c</t>
  </si>
  <si>
    <t>† Spreads to areas covered by fleece, other areas may
not be protected, including the feet</t>
  </si>
  <si>
    <t>Vector* 6 - 8 weeks protection, calculations based on 6 weeks</t>
  </si>
  <si>
    <t>Vector* 6 - 8 weeks protection, illustration based on 6 weeks</t>
  </si>
  <si>
    <t>Ectofly®**</t>
  </si>
  <si>
    <t>Ectofly** 6 - 8 weeks protection, illustration based on 6 weeks</t>
  </si>
  <si>
    <t>Ectofly** 6 - 8 weeks protection, calculations based on 6 weeks</t>
  </si>
  <si>
    <r>
      <rPr>
        <b/>
        <sz val="11"/>
        <color rgb="FF134469"/>
        <rFont val="Helvetica"/>
        <family val="2"/>
      </rPr>
      <t xml:space="preserve">Instructions
</t>
    </r>
    <r>
      <rPr>
        <sz val="11"/>
        <color rgb="FF134469"/>
        <rFont val="Helvetica"/>
      </rPr>
      <t xml:space="preserve">Amend the information in the yellow boxes by using the dropdown options for weight of animal and application date and manually enter the number of sheep to personalise the content.                                        </t>
    </r>
    <r>
      <rPr>
        <b/>
        <sz val="11"/>
        <color rgb="FF134469"/>
        <rFont val="Helvetica"/>
        <family val="2"/>
      </rPr>
      <t xml:space="preserve">                                                                                                                                    </t>
    </r>
    <r>
      <rPr>
        <b/>
        <u/>
        <sz val="14"/>
        <color rgb="FF134469"/>
        <rFont val="Helvetica"/>
      </rPr>
      <t>Elanco blowfly control portfolio</t>
    </r>
    <r>
      <rPr>
        <sz val="10"/>
        <color rgb="FF134469"/>
        <rFont val="Helvetica"/>
        <family val="2"/>
      </rPr>
      <t xml:space="preserve">	       
</t>
    </r>
    <r>
      <rPr>
        <b/>
        <sz val="10"/>
        <color rgb="FF134469"/>
        <rFont val="Helvetica"/>
      </rPr>
      <t>Elanco INSECT GROWTH REGULATORS -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All contain Fleecebind technology providing full fleece protection†.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-&gt; CLiK EXTRA:</t>
    </r>
    <r>
      <rPr>
        <sz val="10"/>
        <color rgb="FF134469"/>
        <rFont val="Helvetica"/>
        <family val="2"/>
      </rPr>
      <t xml:space="preserve"> 19 weeks prevention. Allows farmers to treat early for extended peace of mind. 
</t>
    </r>
    <r>
      <rPr>
        <b/>
        <sz val="10"/>
        <color rgb="FF134469"/>
        <rFont val="Helvetica"/>
      </rPr>
      <t xml:space="preserve">-&gt; CLiK: </t>
    </r>
    <r>
      <rPr>
        <sz val="10"/>
        <color rgb="FF134469"/>
        <rFont val="Helvetica"/>
        <family val="2"/>
      </rPr>
      <t xml:space="preserve">Long lasting, 16 weeks prevention.
</t>
    </r>
    <r>
      <rPr>
        <b/>
        <sz val="10"/>
        <color rgb="FF134469"/>
        <rFont val="Helvetica"/>
      </rPr>
      <t xml:space="preserve">-&gt; CLiKZiN: </t>
    </r>
    <r>
      <rPr>
        <sz val="10"/>
        <color rgb="FF134469"/>
        <rFont val="Helvetica"/>
        <family val="2"/>
      </rPr>
      <t xml:space="preserve">7 day meat withhold. Allows flexibility to market lambs.
</t>
    </r>
    <r>
      <rPr>
        <b/>
        <sz val="10"/>
        <color rgb="FF134469"/>
        <rFont val="Helvetica"/>
      </rPr>
      <t>SYNTHETHIC PYRETHROID: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-&gt; Vector</t>
    </r>
    <r>
      <rPr>
        <sz val="10"/>
        <color rgb="FF134469"/>
        <rFont val="Helvetica"/>
        <family val="2"/>
      </rPr>
      <t>: broad spectrum, treats and controls ectoparasites including blowflies.</t>
    </r>
  </si>
  <si>
    <r>
      <t xml:space="preserve">* Please refer to individual product SPCs for information on what they treat.
** Cost of blowfly strike data taken from Published data: Richard Wall and Fiona Lovatt, Blowfly strike: biology, epidemiology and control, In Practice April 2015 | Volume 37 | 181-188
For further information call Elanco Animal Health on +44 (0)1256 353131 or write to Elanco Animal Health, Form 2, Bartley Way, Bartley Wood Business Park, Hook, RG27 9XA. CLiK® EXTRA contains 65mg/ml dicyclanil. CLiK® contains 50mg/ml dicyclanil. CLiKZiN® contains 12.5mg/ml dicyclanil. Vector® contains 12.5mg/ml cypermethrin. Ectofly® contains 12.5mg/ml cypermethrin. Legal category: POM in IE.
Information regarding the side effects, precautions, warnings and contra-indications can be found on the product packaging; further information can also be found in the Summary of Product Characteristics. Advice should be sought from the medicine prescriber prior to use. Elanco™, CLiK® EXTRA, CLiK®, CLiKZiN® and Vector ® and the Diagonal Bar™ are trademarks owned by Elanco or its affiliates. Other company and product names are trademarks of their respective owners. PM-IE-24-0059
</t>
    </r>
    <r>
      <rPr>
        <b/>
        <sz val="8"/>
        <color rgb="FF134469"/>
        <rFont val="Calibri"/>
        <family val="2"/>
      </rPr>
      <t>Use Medicines Responsibly</t>
    </r>
    <r>
      <rPr>
        <sz val="8"/>
        <color rgb="FF134469"/>
        <rFont val="Calibri"/>
        <family val="2"/>
      </rPr>
      <t xml:space="preserve"> (www.apha.ie) ©2024 Elanco (Date updated March 2024)</t>
    </r>
  </si>
  <si>
    <t>Cost per dose per week plus labour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</si>
</sst>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[$£-809]#,##0.00;&quot;-&quot;[$£-809]#,##0.00"/>
    <numFmt numFmtId="165" formatCode="#,##0.0"/>
    <numFmt numFmtId="166" formatCode="#,##0&quot; &quot;;&quot;-&quot;#,##0&quot; &quot;"/>
    <numFmt numFmtId="167" formatCode="dddd&quot;, &quot;mmmm&quot; &quot;dd&quot;, &quot;yyyy"/>
    <numFmt numFmtId="168" formatCode="#,##0.0&quot; &quot;;&quot;-&quot;#,##0.0&quot; &quot;"/>
    <numFmt numFmtId="169" formatCode="#,##0.00&quot; &quot;;&quot;-&quot;#,##0.00&quot; &quot;"/>
    <numFmt numFmtId="170" formatCode="0.0%"/>
    <numFmt numFmtId="171" formatCode="[$£-809]#,##0"/>
    <numFmt numFmtId="172" formatCode="&quot; &quot;[$£-809]* #,##0.00&quot; &quot;;&quot;-&quot;[$£-809]* #,##0.00&quot; &quot;;&quot; &quot;[$£-809]* &quot;-&quot;??&quot; &quot;"/>
    <numFmt numFmtId="173" formatCode="&quot;£&quot;#,##0.00"/>
    <numFmt numFmtId="174" formatCode="[$€-83C]#,##0.00"/>
    <numFmt numFmtId="175" formatCode="[$€-83C]#,##0"/>
  </numFmts>
  <fonts count="63">
    <font>
      <sz val="11"/>
      <color indexed="8"/>
      <name val="Calibri"/>
    </font>
    <font>
      <sz val="11"/>
      <color indexed="9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36"/>
      <color indexed="9"/>
      <name val="Calibri"/>
      <family val="2"/>
    </font>
    <font>
      <b/>
      <sz val="36"/>
      <color indexed="8"/>
      <name val="Calibri"/>
      <family val="2"/>
    </font>
    <font>
      <sz val="9"/>
      <color indexed="8"/>
      <name val="Calibri"/>
      <family val="2"/>
    </font>
    <font>
      <b/>
      <sz val="36"/>
      <color theme="0"/>
      <name val="Helvetica"/>
      <family val="2"/>
    </font>
    <font>
      <b/>
      <sz val="12"/>
      <color rgb="FF134469"/>
      <name val="Helvetica"/>
      <family val="2"/>
    </font>
    <font>
      <sz val="11"/>
      <color rgb="FF134469"/>
      <name val="Helvetica"/>
      <family val="2"/>
    </font>
    <font>
      <b/>
      <sz val="11"/>
      <color rgb="FF134469"/>
      <name val="Helvetica"/>
      <family val="2"/>
    </font>
    <font>
      <sz val="14"/>
      <color rgb="FF134469"/>
      <name val="Helvetica"/>
      <family val="2"/>
    </font>
    <font>
      <sz val="12"/>
      <color rgb="FF134469"/>
      <name val="Helvetica"/>
      <family val="2"/>
    </font>
    <font>
      <b/>
      <sz val="11"/>
      <color indexed="8"/>
      <name val="Helvetica"/>
      <family val="2"/>
    </font>
    <font>
      <sz val="11"/>
      <color indexed="8"/>
      <name val="Helvetica"/>
      <family val="2"/>
    </font>
    <font>
      <sz val="12"/>
      <color indexed="8"/>
      <name val="Helvetica"/>
      <family val="2"/>
    </font>
    <font>
      <b/>
      <sz val="13"/>
      <color rgb="FF134469"/>
      <name val="Helvetica"/>
      <family val="2"/>
    </font>
    <font>
      <b/>
      <sz val="48"/>
      <color rgb="FFE03B30"/>
      <name val="Helvetica"/>
      <family val="2"/>
    </font>
    <font>
      <b/>
      <sz val="48"/>
      <color indexed="15"/>
      <name val="Calibri"/>
      <family val="2"/>
    </font>
    <font>
      <sz val="11"/>
      <color indexed="8"/>
      <name val="Helvetica Neue"/>
      <family val="2"/>
      <scheme val="major"/>
    </font>
    <font>
      <b/>
      <sz val="36"/>
      <color indexed="9"/>
      <name val="Helvetica Neue"/>
      <family val="2"/>
      <scheme val="major"/>
    </font>
    <font>
      <b/>
      <sz val="12"/>
      <color rgb="FF134469"/>
      <name val="Helvetica Neue"/>
      <family val="2"/>
      <scheme val="major"/>
    </font>
    <font>
      <b/>
      <sz val="11"/>
      <color indexed="8"/>
      <name val="Helvetica Neue"/>
      <family val="2"/>
      <scheme val="major"/>
    </font>
    <font>
      <sz val="11"/>
      <color indexed="9"/>
      <name val="Helvetica Neue"/>
      <family val="2"/>
      <scheme val="major"/>
    </font>
    <font>
      <b/>
      <sz val="26"/>
      <color indexed="16"/>
      <name val="Helvetica Neue"/>
      <family val="2"/>
      <scheme val="major"/>
    </font>
    <font>
      <b/>
      <sz val="18"/>
      <color indexed="16"/>
      <name val="Helvetica Neue"/>
      <family val="2"/>
      <scheme val="major"/>
    </font>
    <font>
      <b/>
      <sz val="16"/>
      <color indexed="8"/>
      <name val="Helvetica Neue"/>
      <family val="2"/>
      <scheme val="major"/>
    </font>
    <font>
      <b/>
      <sz val="60"/>
      <color indexed="16"/>
      <name val="Helvetica Neue"/>
      <family val="2"/>
      <scheme val="major"/>
    </font>
    <font>
      <b/>
      <sz val="72"/>
      <color indexed="16"/>
      <name val="Helvetica Neue"/>
      <family val="2"/>
      <scheme val="major"/>
    </font>
    <font>
      <b/>
      <sz val="72"/>
      <color indexed="8"/>
      <name val="Helvetica Neue"/>
      <family val="2"/>
      <scheme val="major"/>
    </font>
    <font>
      <sz val="9"/>
      <color indexed="8"/>
      <name val="Helvetica Neue"/>
      <family val="2"/>
      <scheme val="major"/>
    </font>
    <font>
      <sz val="12"/>
      <color indexed="8"/>
      <name val="Helvetica Neue"/>
      <family val="2"/>
      <scheme val="major"/>
    </font>
    <font>
      <b/>
      <sz val="12"/>
      <color indexed="8"/>
      <name val="Helvetica Neue"/>
      <family val="2"/>
      <scheme val="major"/>
    </font>
    <font>
      <sz val="11"/>
      <name val="Helvetica Neue"/>
      <family val="2"/>
      <scheme val="major"/>
    </font>
    <font>
      <sz val="11"/>
      <name val="Calibri"/>
      <family val="2"/>
    </font>
    <font>
      <sz val="9"/>
      <name val="Helvetica Neue"/>
      <family val="2"/>
      <scheme val="major"/>
    </font>
    <font>
      <b/>
      <sz val="11"/>
      <color rgb="FF134469"/>
      <name val="Helvetica Neue"/>
      <family val="2"/>
      <scheme val="major"/>
    </font>
    <font>
      <b/>
      <sz val="24"/>
      <color indexed="9"/>
      <name val="Helvetica Neue"/>
      <family val="2"/>
      <scheme val="major"/>
    </font>
    <font>
      <b/>
      <sz val="12"/>
      <color indexed="9"/>
      <name val="Helvetica Neue"/>
      <family val="2"/>
      <scheme val="major"/>
    </font>
    <font>
      <b/>
      <sz val="24"/>
      <color indexed="8"/>
      <name val="Helvetica Neue"/>
      <family val="2"/>
      <scheme val="major"/>
    </font>
    <font>
      <sz val="10"/>
      <color indexed="8"/>
      <name val="Helvetica Neue"/>
      <family val="2"/>
      <scheme val="major"/>
    </font>
    <font>
      <b/>
      <sz val="12"/>
      <color rgb="FFE03B30"/>
      <name val="Helvetica"/>
      <family val="2"/>
    </font>
    <font>
      <sz val="8"/>
      <color rgb="FF134469"/>
      <name val="Calibri"/>
      <family val="2"/>
    </font>
    <font>
      <b/>
      <sz val="8"/>
      <color rgb="FF134469"/>
      <name val="Calibri"/>
      <family val="2"/>
    </font>
    <font>
      <b/>
      <sz val="20"/>
      <color rgb="FF134469"/>
      <name val="Helvetica"/>
      <family val="2"/>
    </font>
    <font>
      <b/>
      <sz val="36"/>
      <color indexed="8"/>
      <name val="Helvetica"/>
      <family val="2"/>
    </font>
    <font>
      <sz val="10"/>
      <color rgb="FF134469"/>
      <name val="Helvetica"/>
      <family val="2"/>
    </font>
    <font>
      <sz val="8"/>
      <color rgb="FF134469"/>
      <name val="Helvetica"/>
      <family val="2"/>
    </font>
    <font>
      <sz val="9"/>
      <color rgb="FF134469"/>
      <name val="Helvetica"/>
      <family val="2"/>
    </font>
    <font>
      <b/>
      <sz val="36"/>
      <color indexed="9"/>
      <name val="Helvetica"/>
      <family val="2"/>
    </font>
    <font>
      <b/>
      <sz val="16"/>
      <color indexed="8"/>
      <name val="Helvetica"/>
      <family val="2"/>
    </font>
    <font>
      <sz val="11"/>
      <color theme="1"/>
      <name val="Helvetica Neue"/>
      <family val="2"/>
      <scheme val="major"/>
    </font>
    <font>
      <b/>
      <sz val="24"/>
      <color rgb="FF134469"/>
      <name val="Helvetica"/>
      <family val="2"/>
    </font>
    <font>
      <sz val="20"/>
      <color rgb="FF134469"/>
      <name val="Helvetica"/>
      <family val="2"/>
    </font>
    <font>
      <b/>
      <sz val="11"/>
      <color indexed="9"/>
      <name val="Helvetica"/>
      <family val="2"/>
    </font>
    <font>
      <sz val="12"/>
      <color rgb="FF134469"/>
      <name val="Helvetica"/>
    </font>
    <font>
      <sz val="10"/>
      <color rgb="FF134469"/>
      <name val="Helvetica"/>
    </font>
    <font>
      <sz val="10"/>
      <color rgb="FF134469"/>
      <name val="Helvetica Neue"/>
      <family val="2"/>
      <scheme val="major"/>
    </font>
    <font>
      <sz val="8.5"/>
      <color rgb="FF134469"/>
      <name val="Helvetica Neue"/>
      <family val="2"/>
      <scheme val="major"/>
    </font>
    <font>
      <sz val="11"/>
      <color indexed="8"/>
      <name val="Calibri"/>
      <family val="2"/>
    </font>
    <font>
      <sz val="11"/>
      <color rgb="FF134469"/>
      <name val="Helvetica"/>
    </font>
    <font>
      <b/>
      <sz val="10"/>
      <color rgb="FF134469"/>
      <name val="Helvetica"/>
    </font>
    <font>
      <b/>
      <u/>
      <sz val="14"/>
      <color rgb="FF134469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134469"/>
        <bgColor indexed="64"/>
      </patternFill>
    </fill>
    <fill>
      <patternFill patternType="solid">
        <fgColor rgb="FFFCD634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rgb="FF134469"/>
      </bottom>
      <diagonal/>
    </border>
    <border>
      <left style="medium">
        <color rgb="FF134469"/>
      </left>
      <right/>
      <top/>
      <bottom style="medium">
        <color rgb="FF134469"/>
      </bottom>
      <diagonal/>
    </border>
    <border>
      <left/>
      <right style="medium">
        <color rgb="FF134469"/>
      </right>
      <top/>
      <bottom style="medium">
        <color rgb="FF134469"/>
      </bottom>
      <diagonal/>
    </border>
    <border>
      <left style="medium">
        <color rgb="FF134469"/>
      </left>
      <right/>
      <top style="medium">
        <color rgb="FF134469"/>
      </top>
      <bottom style="medium">
        <color rgb="FF134469"/>
      </bottom>
      <diagonal/>
    </border>
    <border>
      <left/>
      <right/>
      <top style="medium">
        <color rgb="FF134469"/>
      </top>
      <bottom style="medium">
        <color rgb="FF134469"/>
      </bottom>
      <diagonal/>
    </border>
    <border>
      <left/>
      <right style="medium">
        <color rgb="FF134469"/>
      </right>
      <top style="medium">
        <color rgb="FF134469"/>
      </top>
      <bottom style="medium">
        <color rgb="FF134469"/>
      </bottom>
      <diagonal/>
    </border>
    <border>
      <left style="thick">
        <color rgb="FF134469"/>
      </left>
      <right style="thick">
        <color rgb="FF134469"/>
      </right>
      <top style="thick">
        <color rgb="FF134469"/>
      </top>
      <bottom style="thick">
        <color rgb="FF134469"/>
      </bottom>
      <diagonal/>
    </border>
    <border>
      <left style="thick">
        <color rgb="FF134469"/>
      </left>
      <right/>
      <top/>
      <bottom/>
      <diagonal/>
    </border>
    <border>
      <left/>
      <right/>
      <top style="thick">
        <color rgb="FF134469"/>
      </top>
      <bottom/>
      <diagonal/>
    </border>
    <border>
      <left style="thick">
        <color rgb="FF134469"/>
      </left>
      <right/>
      <top style="thick">
        <color rgb="FF134469"/>
      </top>
      <bottom/>
      <diagonal/>
    </border>
    <border>
      <left/>
      <right style="thick">
        <color rgb="FF134469"/>
      </right>
      <top style="thick">
        <color rgb="FF134469"/>
      </top>
      <bottom/>
      <diagonal/>
    </border>
    <border>
      <left/>
      <right style="thick">
        <color rgb="FF134469"/>
      </right>
      <top/>
      <bottom/>
      <diagonal/>
    </border>
    <border>
      <left style="thick">
        <color rgb="FF134469"/>
      </left>
      <right/>
      <top/>
      <bottom style="thick">
        <color rgb="FF134469"/>
      </bottom>
      <diagonal/>
    </border>
    <border>
      <left/>
      <right/>
      <top/>
      <bottom style="thick">
        <color rgb="FF134469"/>
      </bottom>
      <diagonal/>
    </border>
    <border>
      <left/>
      <right/>
      <top style="thick">
        <color rgb="FFE13B2F"/>
      </top>
      <bottom/>
      <diagonal/>
    </border>
    <border>
      <left/>
      <right style="medium">
        <color rgb="FF134469"/>
      </right>
      <top/>
      <bottom/>
      <diagonal/>
    </border>
    <border>
      <left style="thick">
        <color rgb="FFE13B2F"/>
      </left>
      <right/>
      <top style="thick">
        <color rgb="FFE13B2F"/>
      </top>
      <bottom/>
      <diagonal/>
    </border>
    <border>
      <left/>
      <right style="thick">
        <color rgb="FFE13B2F"/>
      </right>
      <top style="thick">
        <color rgb="FFE13B2F"/>
      </top>
      <bottom/>
      <diagonal/>
    </border>
    <border>
      <left style="thick">
        <color rgb="FFE13B2F"/>
      </left>
      <right/>
      <top/>
      <bottom/>
      <diagonal/>
    </border>
    <border>
      <left/>
      <right style="thick">
        <color rgb="FFE13B2F"/>
      </right>
      <top/>
      <bottom/>
      <diagonal/>
    </border>
    <border>
      <left style="thick">
        <color rgb="FFE13B2F"/>
      </left>
      <right/>
      <top/>
      <bottom style="thick">
        <color rgb="FFE13B2F"/>
      </bottom>
      <diagonal/>
    </border>
    <border>
      <left/>
      <right/>
      <top/>
      <bottom style="thick">
        <color rgb="FFE13B2F"/>
      </bottom>
      <diagonal/>
    </border>
    <border>
      <left/>
      <right style="thick">
        <color rgb="FFE13B2F"/>
      </right>
      <top/>
      <bottom style="thick">
        <color rgb="FFE13B2F"/>
      </bottom>
      <diagonal/>
    </border>
    <border>
      <left/>
      <right style="thin">
        <color rgb="FF134469"/>
      </right>
      <top/>
      <bottom/>
      <diagonal/>
    </border>
    <border>
      <left style="thin">
        <color rgb="FF134469"/>
      </left>
      <right/>
      <top style="thin">
        <color rgb="FF134469"/>
      </top>
      <bottom/>
      <diagonal/>
    </border>
    <border>
      <left/>
      <right/>
      <top style="thin">
        <color rgb="FF134469"/>
      </top>
      <bottom/>
      <diagonal/>
    </border>
    <border>
      <left/>
      <right style="thin">
        <color rgb="FF134469"/>
      </right>
      <top style="thin">
        <color rgb="FF134469"/>
      </top>
      <bottom/>
      <diagonal/>
    </border>
    <border>
      <left style="thin">
        <color rgb="FF134469"/>
      </left>
      <right/>
      <top/>
      <bottom/>
      <diagonal/>
    </border>
    <border>
      <left style="thin">
        <color rgb="FF134469"/>
      </left>
      <right/>
      <top/>
      <bottom style="thin">
        <color rgb="FF134469"/>
      </bottom>
      <diagonal/>
    </border>
    <border>
      <left/>
      <right/>
      <top/>
      <bottom style="thin">
        <color rgb="FF134469"/>
      </bottom>
      <diagonal/>
    </border>
    <border>
      <left/>
      <right style="thin">
        <color rgb="FF134469"/>
      </right>
      <top/>
      <bottom style="thin">
        <color rgb="FF134469"/>
      </bottom>
      <diagonal/>
    </border>
    <border>
      <left/>
      <right style="thick">
        <color rgb="FF134469"/>
      </right>
      <top/>
      <bottom style="thick">
        <color rgb="FF134469"/>
      </bottom>
      <diagonal/>
    </border>
  </borders>
  <cellStyleXfs count="2">
    <xf numFmtId="0" fontId="0" fillId="0" borderId="0" applyNumberFormat="0" applyFill="0" applyBorder="0" applyProtection="0"/>
    <xf numFmtId="0" fontId="59" fillId="0" borderId="3" applyNumberFormat="0" applyFill="0" applyBorder="0" applyProtection="0"/>
  </cellStyleXfs>
  <cellXfs count="340">
    <xf numFmtId="0" fontId="0" fillId="0" borderId="0" xfId="0"/>
    <xf numFmtId="0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65" fontId="0" fillId="2" borderId="3" xfId="0" applyNumberFormat="1" applyFill="1" applyBorder="1" applyAlignment="1">
      <alignment vertic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49" fontId="0" fillId="2" borderId="7" xfId="0" applyNumberFormat="1" applyFill="1" applyBorder="1"/>
    <xf numFmtId="0" fontId="0" fillId="2" borderId="7" xfId="0" applyFill="1" applyBorder="1" applyAlignment="1">
      <alignment wrapText="1"/>
    </xf>
    <xf numFmtId="0" fontId="0" fillId="2" borderId="9" xfId="0" applyFill="1" applyBorder="1"/>
    <xf numFmtId="17" fontId="0" fillId="2" borderId="7" xfId="0" applyNumberFormat="1" applyFill="1" applyBorder="1"/>
    <xf numFmtId="0" fontId="0" fillId="2" borderId="7" xfId="0" applyNumberFormat="1" applyFill="1" applyBorder="1"/>
    <xf numFmtId="16" fontId="0" fillId="2" borderId="7" xfId="0" applyNumberFormat="1" applyFill="1" applyBorder="1"/>
    <xf numFmtId="0" fontId="0" fillId="2" borderId="7" xfId="0" applyFill="1" applyBorder="1" applyAlignment="1">
      <alignment horizontal="center"/>
    </xf>
    <xf numFmtId="1" fontId="0" fillId="2" borderId="7" xfId="0" applyNumberFormat="1" applyFill="1" applyBorder="1"/>
    <xf numFmtId="4" fontId="0" fillId="2" borderId="7" xfId="0" applyNumberFormat="1" applyFill="1" applyBorder="1"/>
    <xf numFmtId="164" fontId="0" fillId="2" borderId="7" xfId="0" applyNumberFormat="1" applyFill="1" applyBorder="1"/>
    <xf numFmtId="16" fontId="0" fillId="2" borderId="7" xfId="0" applyNumberFormat="1" applyFill="1" applyBorder="1" applyAlignment="1">
      <alignment horizontal="center"/>
    </xf>
    <xf numFmtId="167" fontId="0" fillId="2" borderId="7" xfId="0" applyNumberFormat="1" applyFill="1" applyBorder="1"/>
    <xf numFmtId="2" fontId="0" fillId="2" borderId="7" xfId="0" applyNumberFormat="1" applyFill="1" applyBorder="1"/>
    <xf numFmtId="49" fontId="0" fillId="2" borderId="7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2" fontId="0" fillId="2" borderId="7" xfId="0" applyNumberFormat="1" applyFill="1" applyBorder="1" applyAlignment="1">
      <alignment horizontal="center"/>
    </xf>
    <xf numFmtId="0" fontId="0" fillId="2" borderId="10" xfId="0" applyFill="1" applyBorder="1"/>
    <xf numFmtId="0" fontId="0" fillId="2" borderId="7" xfId="0" applyNumberFormat="1" applyFill="1" applyBorder="1" applyAlignment="1">
      <alignment horizontal="left"/>
    </xf>
    <xf numFmtId="168" fontId="0" fillId="2" borderId="8" xfId="0" applyNumberFormat="1" applyFill="1" applyBorder="1" applyAlignment="1">
      <alignment horizontal="center" vertical="center"/>
    </xf>
    <xf numFmtId="169" fontId="0" fillId="2" borderId="1" xfId="0" applyNumberFormat="1" applyFill="1" applyBorder="1" applyAlignment="1">
      <alignment horizontal="center" vertical="center"/>
    </xf>
    <xf numFmtId="168" fontId="0" fillId="2" borderId="2" xfId="0" applyNumberFormat="1" applyFill="1" applyBorder="1" applyAlignment="1">
      <alignment horizontal="center" vertical="center"/>
    </xf>
    <xf numFmtId="0" fontId="0" fillId="2" borderId="11" xfId="0" applyFill="1" applyBorder="1"/>
    <xf numFmtId="168" fontId="0" fillId="2" borderId="9" xfId="0" applyNumberFormat="1" applyFill="1" applyBorder="1" applyAlignment="1">
      <alignment horizontal="center" vertical="center"/>
    </xf>
    <xf numFmtId="169" fontId="0" fillId="2" borderId="3" xfId="0" applyNumberFormat="1" applyFill="1" applyBorder="1" applyAlignment="1">
      <alignment horizontal="center"/>
    </xf>
    <xf numFmtId="168" fontId="0" fillId="2" borderId="4" xfId="0" applyNumberFormat="1" applyFill="1" applyBorder="1" applyAlignment="1">
      <alignment horizontal="center" vertical="center"/>
    </xf>
    <xf numFmtId="168" fontId="0" fillId="2" borderId="12" xfId="0" applyNumberFormat="1" applyFill="1" applyBorder="1" applyAlignment="1">
      <alignment horizontal="center" vertical="center"/>
    </xf>
    <xf numFmtId="169" fontId="0" fillId="2" borderId="5" xfId="0" applyNumberFormat="1" applyFill="1" applyBorder="1" applyAlignment="1">
      <alignment horizontal="center"/>
    </xf>
    <xf numFmtId="168" fontId="0" fillId="2" borderId="6" xfId="0" applyNumberFormat="1" applyFill="1" applyBorder="1" applyAlignment="1">
      <alignment horizontal="center" vertical="center"/>
    </xf>
    <xf numFmtId="49" fontId="0" fillId="2" borderId="10" xfId="0" applyNumberFormat="1" applyFill="1" applyBorder="1"/>
    <xf numFmtId="0" fontId="0" fillId="2" borderId="12" xfId="0" applyFill="1" applyBorder="1"/>
    <xf numFmtId="0" fontId="0" fillId="2" borderId="13" xfId="0" applyFill="1" applyBorder="1"/>
    <xf numFmtId="165" fontId="2" fillId="2" borderId="8" xfId="0" applyNumberFormat="1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vertical="center"/>
    </xf>
    <xf numFmtId="165" fontId="2" fillId="2" borderId="9" xfId="0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49" fontId="2" fillId="2" borderId="4" xfId="0" applyNumberFormat="1" applyFont="1" applyFill="1" applyBorder="1" applyAlignment="1">
      <alignment vertical="center"/>
    </xf>
    <xf numFmtId="165" fontId="0" fillId="2" borderId="9" xfId="0" applyNumberFormat="1" applyFill="1" applyBorder="1" applyAlignment="1">
      <alignment vertical="center"/>
    </xf>
    <xf numFmtId="165" fontId="0" fillId="2" borderId="14" xfId="0" applyNumberFormat="1" applyFill="1" applyBorder="1" applyAlignment="1">
      <alignment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0" fillId="2" borderId="15" xfId="0" applyNumberFormat="1" applyFill="1" applyBorder="1" applyAlignment="1">
      <alignment vertical="center"/>
    </xf>
    <xf numFmtId="49" fontId="0" fillId="2" borderId="16" xfId="0" applyNumberFormat="1" applyFill="1" applyBorder="1"/>
    <xf numFmtId="0" fontId="0" fillId="2" borderId="14" xfId="0" applyFill="1" applyBorder="1"/>
    <xf numFmtId="0" fontId="0" fillId="2" borderId="15" xfId="0" applyFill="1" applyBorder="1"/>
    <xf numFmtId="165" fontId="3" fillId="2" borderId="9" xfId="0" applyNumberFormat="1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vertical="center"/>
    </xf>
    <xf numFmtId="165" fontId="3" fillId="2" borderId="12" xfId="0" applyNumberFormat="1" applyFont="1" applyFill="1" applyBorder="1" applyAlignment="1">
      <alignment vertical="center"/>
    </xf>
    <xf numFmtId="49" fontId="3" fillId="2" borderId="6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vertical="center"/>
    </xf>
    <xf numFmtId="0" fontId="0" fillId="2" borderId="16" xfId="0" applyFill="1" applyBorder="1"/>
    <xf numFmtId="0" fontId="0" fillId="2" borderId="3" xfId="0" applyNumberFormat="1" applyFill="1" applyBorder="1"/>
    <xf numFmtId="0" fontId="0" fillId="2" borderId="17" xfId="0" applyNumberFormat="1" applyFill="1" applyBorder="1"/>
    <xf numFmtId="0" fontId="0" fillId="2" borderId="18" xfId="0" applyNumberFormat="1" applyFill="1" applyBorder="1"/>
    <xf numFmtId="0" fontId="1" fillId="2" borderId="3" xfId="0" applyNumberFormat="1" applyFont="1" applyFill="1" applyBorder="1" applyAlignment="1">
      <alignment horizontal="center"/>
    </xf>
    <xf numFmtId="0" fontId="1" fillId="2" borderId="17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49" fontId="7" fillId="0" borderId="19" xfId="0" applyNumberFormat="1" applyFont="1" applyFill="1" applyBorder="1" applyAlignment="1">
      <alignment horizontal="center" vertical="center"/>
    </xf>
    <xf numFmtId="0" fontId="0" fillId="0" borderId="3" xfId="0" applyBorder="1"/>
    <xf numFmtId="0" fontId="9" fillId="0" borderId="3" xfId="0" applyFont="1" applyBorder="1" applyAlignment="1">
      <alignment horizontal="center" vertical="center"/>
    </xf>
    <xf numFmtId="9" fontId="11" fillId="0" borderId="3" xfId="0" applyNumberFormat="1" applyFont="1" applyFill="1" applyBorder="1" applyAlignment="1" applyProtection="1">
      <alignment horizontal="center" vertical="center"/>
      <protection locked="0"/>
    </xf>
    <xf numFmtId="1" fontId="1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70" fontId="12" fillId="0" borderId="3" xfId="0" applyNumberFormat="1" applyFont="1" applyBorder="1" applyAlignment="1">
      <alignment horizontal="center" vertical="center"/>
    </xf>
    <xf numFmtId="171" fontId="12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1" fontId="15" fillId="0" borderId="3" xfId="0" applyNumberFormat="1" applyFont="1" applyBorder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171" fontId="10" fillId="2" borderId="3" xfId="0" applyNumberFormat="1" applyFont="1" applyFill="1" applyBorder="1" applyAlignment="1">
      <alignment vertical="center"/>
    </xf>
    <xf numFmtId="0" fontId="0" fillId="0" borderId="3" xfId="0" applyNumberFormat="1" applyBorder="1"/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right" vertical="center"/>
    </xf>
    <xf numFmtId="171" fontId="12" fillId="0" borderId="3" xfId="0" applyNumberFormat="1" applyFont="1" applyBorder="1" applyAlignment="1">
      <alignment vertical="center"/>
    </xf>
    <xf numFmtId="171" fontId="18" fillId="2" borderId="3" xfId="0" applyNumberFormat="1" applyFont="1" applyFill="1" applyBorder="1" applyAlignment="1">
      <alignment vertical="center"/>
    </xf>
    <xf numFmtId="0" fontId="0" fillId="0" borderId="27" xfId="0" applyBorder="1"/>
    <xf numFmtId="49" fontId="6" fillId="2" borderId="27" xfId="0" applyNumberFormat="1" applyFont="1" applyFill="1" applyBorder="1" applyAlignment="1">
      <alignment vertical="center" wrapText="1"/>
    </xf>
    <xf numFmtId="0" fontId="6" fillId="2" borderId="27" xfId="0" applyFont="1" applyFill="1" applyBorder="1" applyAlignment="1">
      <alignment vertical="center"/>
    </xf>
    <xf numFmtId="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0" fontId="0" fillId="3" borderId="3" xfId="0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 applyAlignment="1">
      <alignment horizontal="right"/>
    </xf>
    <xf numFmtId="0" fontId="19" fillId="3" borderId="3" xfId="0" applyFont="1" applyFill="1" applyBorder="1"/>
    <xf numFmtId="0" fontId="19" fillId="0" borderId="3" xfId="0" applyFont="1" applyFill="1" applyBorder="1"/>
    <xf numFmtId="0" fontId="19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vertical="center"/>
    </xf>
    <xf numFmtId="0" fontId="19" fillId="2" borderId="3" xfId="0" applyFont="1" applyFill="1" applyBorder="1" applyAlignment="1">
      <alignment vertical="center"/>
    </xf>
    <xf numFmtId="0" fontId="22" fillId="2" borderId="3" xfId="0" applyFont="1" applyFill="1" applyBorder="1"/>
    <xf numFmtId="0" fontId="19" fillId="3" borderId="3" xfId="0" applyFont="1" applyFill="1" applyBorder="1" applyAlignment="1">
      <alignment wrapText="1"/>
    </xf>
    <xf numFmtId="0" fontId="22" fillId="2" borderId="3" xfId="0" applyFont="1" applyFill="1" applyBorder="1" applyAlignment="1">
      <alignment horizontal="left" vertical="center"/>
    </xf>
    <xf numFmtId="0" fontId="23" fillId="2" borderId="3" xfId="0" applyFont="1" applyFill="1" applyBorder="1"/>
    <xf numFmtId="0" fontId="19" fillId="2" borderId="3" xfId="0" applyFont="1" applyFill="1" applyBorder="1" applyAlignment="1">
      <alignment horizontal="center"/>
    </xf>
    <xf numFmtId="49" fontId="23" fillId="2" borderId="3" xfId="0" applyNumberFormat="1" applyFont="1" applyFill="1" applyBorder="1"/>
    <xf numFmtId="0" fontId="24" fillId="2" borderId="3" xfId="0" applyFont="1" applyFill="1" applyBorder="1" applyAlignment="1">
      <alignment vertical="center" wrapText="1"/>
    </xf>
    <xf numFmtId="172" fontId="23" fillId="2" borderId="3" xfId="0" applyNumberFormat="1" applyFont="1" applyFill="1" applyBorder="1"/>
    <xf numFmtId="164" fontId="23" fillId="2" borderId="3" xfId="0" applyNumberFormat="1" applyFont="1" applyFill="1" applyBorder="1"/>
    <xf numFmtId="0" fontId="19" fillId="2" borderId="3" xfId="0" applyFont="1" applyFill="1" applyBorder="1" applyAlignment="1">
      <alignment horizontal="right"/>
    </xf>
    <xf numFmtId="171" fontId="28" fillId="2" borderId="3" xfId="0" applyNumberFormat="1" applyFont="1" applyFill="1" applyBorder="1" applyAlignment="1">
      <alignment vertical="center"/>
    </xf>
    <xf numFmtId="171" fontId="29" fillId="2" borderId="3" xfId="0" applyNumberFormat="1" applyFont="1" applyFill="1" applyBorder="1" applyAlignment="1">
      <alignment vertical="center"/>
    </xf>
    <xf numFmtId="172" fontId="23" fillId="2" borderId="3" xfId="0" applyNumberFormat="1" applyFont="1" applyFill="1" applyBorder="1" applyAlignment="1">
      <alignment vertical="center"/>
    </xf>
    <xf numFmtId="0" fontId="19" fillId="3" borderId="3" xfId="0" applyFont="1" applyFill="1" applyBorder="1" applyAlignment="1">
      <alignment horizontal="right"/>
    </xf>
    <xf numFmtId="171" fontId="28" fillId="2" borderId="3" xfId="0" applyNumberFormat="1" applyFont="1" applyFill="1" applyBorder="1" applyAlignment="1">
      <alignment horizontal="right"/>
    </xf>
    <xf numFmtId="0" fontId="30" fillId="2" borderId="3" xfId="0" applyFont="1" applyFill="1" applyBorder="1" applyAlignment="1">
      <alignment vertical="center"/>
    </xf>
    <xf numFmtId="0" fontId="32" fillId="2" borderId="3" xfId="0" applyFont="1" applyFill="1" applyBorder="1" applyAlignment="1">
      <alignment vertical="center"/>
    </xf>
    <xf numFmtId="1" fontId="8" fillId="0" borderId="3" xfId="0" applyNumberFormat="1" applyFont="1" applyBorder="1" applyAlignment="1">
      <alignment horizontal="center" vertical="center"/>
    </xf>
    <xf numFmtId="49" fontId="20" fillId="3" borderId="3" xfId="0" applyNumberFormat="1" applyFont="1" applyFill="1" applyBorder="1" applyAlignment="1">
      <alignment horizontal="center"/>
    </xf>
    <xf numFmtId="171" fontId="27" fillId="2" borderId="3" xfId="0" applyNumberFormat="1" applyFont="1" applyFill="1" applyBorder="1" applyAlignment="1">
      <alignment vertical="center"/>
    </xf>
    <xf numFmtId="49" fontId="25" fillId="2" borderId="3" xfId="0" applyNumberFormat="1" applyFont="1" applyFill="1" applyBorder="1" applyAlignment="1">
      <alignment vertical="center" wrapText="1"/>
    </xf>
    <xf numFmtId="171" fontId="26" fillId="2" borderId="3" xfId="0" applyNumberFormat="1" applyFont="1" applyFill="1" applyBorder="1" applyAlignment="1">
      <alignment vertical="center"/>
    </xf>
    <xf numFmtId="0" fontId="33" fillId="3" borderId="3" xfId="0" applyFont="1" applyFill="1" applyBorder="1"/>
    <xf numFmtId="0" fontId="33" fillId="2" borderId="3" xfId="0" applyFont="1" applyFill="1" applyBorder="1"/>
    <xf numFmtId="0" fontId="34" fillId="3" borderId="3" xfId="0" applyFont="1" applyFill="1" applyBorder="1"/>
    <xf numFmtId="0" fontId="34" fillId="2" borderId="3" xfId="0" applyFont="1" applyFill="1" applyBorder="1"/>
    <xf numFmtId="0" fontId="34" fillId="0" borderId="3" xfId="0" applyNumberFormat="1" applyFont="1" applyBorder="1"/>
    <xf numFmtId="0" fontId="34" fillId="0" borderId="3" xfId="0" applyFont="1" applyBorder="1"/>
    <xf numFmtId="0" fontId="35" fillId="2" borderId="3" xfId="0" applyFont="1" applyFill="1" applyBorder="1" applyAlignment="1">
      <alignment vertical="center"/>
    </xf>
    <xf numFmtId="49" fontId="30" fillId="2" borderId="3" xfId="0" applyNumberFormat="1" applyFont="1" applyFill="1" applyBorder="1" applyAlignment="1">
      <alignment vertical="center" wrapText="1"/>
    </xf>
    <xf numFmtId="0" fontId="19" fillId="3" borderId="28" xfId="0" applyFont="1" applyFill="1" applyBorder="1"/>
    <xf numFmtId="0" fontId="19" fillId="3" borderId="27" xfId="0" applyFont="1" applyFill="1" applyBorder="1"/>
    <xf numFmtId="0" fontId="19" fillId="3" borderId="29" xfId="0" applyFont="1" applyFill="1" applyBorder="1"/>
    <xf numFmtId="0" fontId="19" fillId="0" borderId="3" xfId="0" applyNumberFormat="1" applyFont="1" applyBorder="1"/>
    <xf numFmtId="0" fontId="19" fillId="0" borderId="3" xfId="0" applyFont="1" applyBorder="1"/>
    <xf numFmtId="0" fontId="19" fillId="3" borderId="26" xfId="0" applyFont="1" applyFill="1" applyBorder="1"/>
    <xf numFmtId="0" fontId="38" fillId="3" borderId="3" xfId="0" applyFont="1" applyFill="1" applyBorder="1" applyAlignment="1">
      <alignment vertical="center" wrapText="1"/>
    </xf>
    <xf numFmtId="0" fontId="19" fillId="3" borderId="30" xfId="0" applyFont="1" applyFill="1" applyBorder="1"/>
    <xf numFmtId="49" fontId="37" fillId="3" borderId="3" xfId="0" applyNumberFormat="1" applyFont="1" applyFill="1" applyBorder="1"/>
    <xf numFmtId="49" fontId="37" fillId="3" borderId="3" xfId="0" applyNumberFormat="1" applyFont="1" applyFill="1" applyBorder="1" applyAlignment="1">
      <alignment vertical="center"/>
    </xf>
    <xf numFmtId="49" fontId="39" fillId="3" borderId="3" xfId="0" applyNumberFormat="1" applyFont="1" applyFill="1" applyBorder="1" applyAlignment="1">
      <alignment vertical="center"/>
    </xf>
    <xf numFmtId="49" fontId="37" fillId="3" borderId="3" xfId="0" applyNumberFormat="1" applyFont="1" applyFill="1" applyBorder="1" applyAlignment="1">
      <alignment horizontal="center" vertical="center" wrapText="1"/>
    </xf>
    <xf numFmtId="16" fontId="31" fillId="2" borderId="3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/>
    <xf numFmtId="0" fontId="31" fillId="2" borderId="3" xfId="0" applyFont="1" applyFill="1" applyBorder="1"/>
    <xf numFmtId="0" fontId="19" fillId="3" borderId="26" xfId="0" applyFont="1" applyFill="1" applyBorder="1" applyAlignment="1">
      <alignment wrapText="1"/>
    </xf>
    <xf numFmtId="0" fontId="32" fillId="2" borderId="3" xfId="0" applyFont="1" applyFill="1" applyBorder="1"/>
    <xf numFmtId="0" fontId="40" fillId="2" borderId="3" xfId="0" applyFont="1" applyFill="1" applyBorder="1" applyAlignment="1">
      <alignment horizontal="center"/>
    </xf>
    <xf numFmtId="0" fontId="19" fillId="3" borderId="30" xfId="0" applyFont="1" applyFill="1" applyBorder="1" applyAlignment="1">
      <alignment wrapText="1"/>
    </xf>
    <xf numFmtId="16" fontId="32" fillId="2" borderId="3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vertical="center"/>
    </xf>
    <xf numFmtId="0" fontId="19" fillId="0" borderId="26" xfId="0" applyNumberFormat="1" applyFont="1" applyBorder="1"/>
    <xf numFmtId="0" fontId="19" fillId="0" borderId="31" xfId="0" applyNumberFormat="1" applyFont="1" applyBorder="1"/>
    <xf numFmtId="0" fontId="19" fillId="0" borderId="32" xfId="0" applyNumberFormat="1" applyFont="1" applyBorder="1"/>
    <xf numFmtId="171" fontId="27" fillId="2" borderId="34" xfId="0" applyNumberFormat="1" applyFont="1" applyFill="1" applyBorder="1" applyAlignment="1">
      <alignment vertical="center"/>
    </xf>
    <xf numFmtId="0" fontId="0" fillId="2" borderId="42" xfId="0" applyNumberFormat="1" applyFill="1" applyBorder="1"/>
    <xf numFmtId="0" fontId="1" fillId="2" borderId="42" xfId="0" applyNumberFormat="1" applyFont="1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43" xfId="0" applyFill="1" applyBorder="1"/>
    <xf numFmtId="0" fontId="0" fillId="2" borderId="44" xfId="0" applyFill="1" applyBorder="1"/>
    <xf numFmtId="0" fontId="0" fillId="2" borderId="45" xfId="0" applyFill="1" applyBorder="1"/>
    <xf numFmtId="0" fontId="0" fillId="2" borderId="42" xfId="0" applyFill="1" applyBorder="1"/>
    <xf numFmtId="0" fontId="1" fillId="2" borderId="42" xfId="0" applyFont="1" applyFill="1" applyBorder="1" applyAlignment="1">
      <alignment horizontal="center"/>
    </xf>
    <xf numFmtId="164" fontId="8" fillId="2" borderId="3" xfId="0" applyNumberFormat="1" applyFont="1" applyFill="1" applyBorder="1" applyAlignment="1">
      <alignment horizontal="center" vertical="center"/>
    </xf>
    <xf numFmtId="165" fontId="8" fillId="2" borderId="3" xfId="0" applyNumberFormat="1" applyFont="1" applyFill="1" applyBorder="1" applyAlignment="1">
      <alignment vertical="center"/>
    </xf>
    <xf numFmtId="49" fontId="8" fillId="2" borderId="3" xfId="0" applyNumberFormat="1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166" fontId="9" fillId="2" borderId="3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165" fontId="12" fillId="2" borderId="3" xfId="0" applyNumberFormat="1" applyFont="1" applyFill="1" applyBorder="1" applyAlignment="1">
      <alignment vertical="center"/>
    </xf>
    <xf numFmtId="0" fontId="12" fillId="2" borderId="3" xfId="0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/>
    <xf numFmtId="0" fontId="9" fillId="2" borderId="3" xfId="0" applyFont="1" applyFill="1" applyBorder="1"/>
    <xf numFmtId="167" fontId="9" fillId="2" borderId="3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/>
    </xf>
    <xf numFmtId="16" fontId="9" fillId="2" borderId="3" xfId="0" applyNumberFormat="1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vertical="center"/>
    </xf>
    <xf numFmtId="49" fontId="9" fillId="2" borderId="3" xfId="0" applyNumberFormat="1" applyFont="1" applyFill="1" applyBorder="1"/>
    <xf numFmtId="16" fontId="9" fillId="2" borderId="3" xfId="0" applyNumberFormat="1" applyFont="1" applyFill="1" applyBorder="1"/>
    <xf numFmtId="1" fontId="9" fillId="2" borderId="3" xfId="0" applyNumberFormat="1" applyFont="1" applyFill="1" applyBorder="1"/>
    <xf numFmtId="0" fontId="12" fillId="2" borderId="3" xfId="0" applyFont="1" applyFill="1" applyBorder="1" applyAlignment="1">
      <alignment horizontal="center"/>
    </xf>
    <xf numFmtId="0" fontId="8" fillId="2" borderId="3" xfId="0" applyFont="1" applyFill="1" applyBorder="1"/>
    <xf numFmtId="0" fontId="46" fillId="0" borderId="3" xfId="0" applyNumberFormat="1" applyFont="1" applyBorder="1" applyAlignment="1">
      <alignment horizontal="left"/>
    </xf>
    <xf numFmtId="0" fontId="40" fillId="0" borderId="3" xfId="0" applyNumberFormat="1" applyFont="1" applyBorder="1" applyAlignment="1">
      <alignment horizontal="center" vertical="center"/>
    </xf>
    <xf numFmtId="49" fontId="50" fillId="2" borderId="3" xfId="0" applyNumberFormat="1" applyFont="1" applyFill="1" applyBorder="1" applyAlignment="1">
      <alignment vertical="center"/>
    </xf>
    <xf numFmtId="49" fontId="51" fillId="2" borderId="3" xfId="0" applyNumberFormat="1" applyFont="1" applyFill="1" applyBorder="1"/>
    <xf numFmtId="49" fontId="46" fillId="2" borderId="3" xfId="0" applyNumberFormat="1" applyFont="1" applyFill="1" applyBorder="1" applyAlignment="1">
      <alignment horizontal="center" vertical="center" wrapText="1"/>
    </xf>
    <xf numFmtId="0" fontId="46" fillId="2" borderId="3" xfId="0" applyFont="1" applyFill="1" applyBorder="1" applyAlignment="1">
      <alignment vertical="center" wrapText="1"/>
    </xf>
    <xf numFmtId="49" fontId="48" fillId="2" borderId="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0" fillId="2" borderId="46" xfId="0" applyFill="1" applyBorder="1"/>
    <xf numFmtId="0" fontId="5" fillId="2" borderId="46" xfId="0" applyFont="1" applyFill="1" applyBorder="1" applyAlignment="1">
      <alignment horizontal="center"/>
    </xf>
    <xf numFmtId="0" fontId="5" fillId="2" borderId="46" xfId="0" applyFont="1" applyFill="1" applyBorder="1" applyAlignment="1">
      <alignment horizontal="left" vertical="center"/>
    </xf>
    <xf numFmtId="0" fontId="5" fillId="2" borderId="46" xfId="0" applyFont="1" applyFill="1" applyBorder="1" applyAlignment="1">
      <alignment horizontal="right"/>
    </xf>
    <xf numFmtId="0" fontId="5" fillId="2" borderId="46" xfId="0" applyFont="1" applyFill="1" applyBorder="1"/>
    <xf numFmtId="49" fontId="44" fillId="2" borderId="47" xfId="0" applyNumberFormat="1" applyFont="1" applyFill="1" applyBorder="1"/>
    <xf numFmtId="0" fontId="0" fillId="2" borderId="48" xfId="0" applyFill="1" applyBorder="1"/>
    <xf numFmtId="0" fontId="0" fillId="2" borderId="49" xfId="0" applyFill="1" applyBorder="1"/>
    <xf numFmtId="0" fontId="9" fillId="0" borderId="3" xfId="0" applyNumberFormat="1" applyFont="1" applyBorder="1" applyAlignment="1">
      <alignment vertical="center"/>
    </xf>
    <xf numFmtId="49" fontId="32" fillId="2" borderId="3" xfId="0" applyNumberFormat="1" applyFont="1" applyFill="1" applyBorder="1" applyAlignment="1">
      <alignment horizontal="left" vertical="top"/>
    </xf>
    <xf numFmtId="49" fontId="5" fillId="2" borderId="46" xfId="0" applyNumberFormat="1" applyFont="1" applyFill="1" applyBorder="1" applyAlignment="1">
      <alignment horizontal="left" vertical="center" indent="5"/>
    </xf>
    <xf numFmtId="49" fontId="45" fillId="2" borderId="46" xfId="0" applyNumberFormat="1" applyFont="1" applyFill="1" applyBorder="1" applyAlignment="1">
      <alignment horizontal="left" vertical="center" indent="1"/>
    </xf>
    <xf numFmtId="0" fontId="0" fillId="3" borderId="45" xfId="0" applyFill="1" applyBorder="1"/>
    <xf numFmtId="0" fontId="0" fillId="3" borderId="46" xfId="0" applyFill="1" applyBorder="1"/>
    <xf numFmtId="0" fontId="0" fillId="3" borderId="42" xfId="0" applyFill="1" applyBorder="1"/>
    <xf numFmtId="0" fontId="0" fillId="3" borderId="48" xfId="0" applyFill="1" applyBorder="1"/>
    <xf numFmtId="0" fontId="0" fillId="3" borderId="49" xfId="0" applyFill="1" applyBorder="1"/>
    <xf numFmtId="49" fontId="53" fillId="2" borderId="46" xfId="0" applyNumberFormat="1" applyFont="1" applyFill="1" applyBorder="1" applyAlignment="1">
      <alignment horizontal="left" inden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164" fontId="55" fillId="2" borderId="3" xfId="0" applyNumberFormat="1" applyFont="1" applyFill="1" applyBorder="1" applyAlignment="1">
      <alignment horizontal="center" vertical="center"/>
    </xf>
    <xf numFmtId="0" fontId="48" fillId="0" borderId="3" xfId="0" applyNumberFormat="1" applyFont="1" applyBorder="1" applyAlignment="1">
      <alignment vertical="center" wrapText="1"/>
    </xf>
    <xf numFmtId="0" fontId="56" fillId="0" borderId="3" xfId="0" applyNumberFormat="1" applyFont="1" applyBorder="1" applyAlignment="1">
      <alignment vertical="center" wrapText="1"/>
    </xf>
    <xf numFmtId="0" fontId="57" fillId="0" borderId="3" xfId="0" applyNumberFormat="1" applyFont="1" applyBorder="1" applyAlignment="1">
      <alignment vertical="center" wrapText="1"/>
    </xf>
    <xf numFmtId="174" fontId="9" fillId="2" borderId="3" xfId="0" applyNumberFormat="1" applyFont="1" applyFill="1" applyBorder="1" applyAlignment="1">
      <alignment vertical="center"/>
    </xf>
    <xf numFmtId="49" fontId="59" fillId="2" borderId="7" xfId="0" applyNumberFormat="1" applyFont="1" applyFill="1" applyBorder="1"/>
    <xf numFmtId="0" fontId="59" fillId="0" borderId="3" xfId="1"/>
    <xf numFmtId="0" fontId="19" fillId="0" borderId="3" xfId="1" applyFont="1" applyBorder="1"/>
    <xf numFmtId="0" fontId="19" fillId="0" borderId="26" xfId="1" applyNumberFormat="1" applyFont="1" applyBorder="1"/>
    <xf numFmtId="0" fontId="19" fillId="0" borderId="30" xfId="1" applyNumberFormat="1" applyFont="1" applyBorder="1"/>
    <xf numFmtId="0" fontId="19" fillId="0" borderId="31" xfId="1" applyNumberFormat="1" applyFont="1" applyBorder="1"/>
    <xf numFmtId="0" fontId="19" fillId="0" borderId="32" xfId="1" applyNumberFormat="1" applyFont="1" applyBorder="1"/>
    <xf numFmtId="0" fontId="40" fillId="0" borderId="3" xfId="1" applyNumberFormat="1" applyFont="1" applyBorder="1" applyAlignment="1">
      <alignment vertical="center"/>
    </xf>
    <xf numFmtId="0" fontId="40" fillId="0" borderId="30" xfId="1" applyNumberFormat="1" applyFont="1" applyBorder="1" applyAlignment="1">
      <alignment vertical="center"/>
    </xf>
    <xf numFmtId="0" fontId="40" fillId="0" borderId="32" xfId="1" applyNumberFormat="1" applyFont="1" applyBorder="1" applyAlignment="1">
      <alignment vertical="center"/>
    </xf>
    <xf numFmtId="0" fontId="40" fillId="0" borderId="50" xfId="1" applyNumberFormat="1" applyFont="1" applyBorder="1" applyAlignment="1">
      <alignment vertical="center"/>
    </xf>
    <xf numFmtId="0" fontId="19" fillId="0" borderId="28" xfId="1" applyNumberFormat="1" applyFont="1" applyBorder="1"/>
    <xf numFmtId="0" fontId="19" fillId="0" borderId="27" xfId="1" applyNumberFormat="1" applyFont="1" applyBorder="1"/>
    <xf numFmtId="0" fontId="19" fillId="0" borderId="29" xfId="1" applyNumberFormat="1" applyFont="1" applyBorder="1"/>
    <xf numFmtId="0" fontId="57" fillId="0" borderId="3" xfId="0" applyNumberFormat="1" applyFont="1" applyBorder="1" applyAlignment="1">
      <alignment horizontal="center" vertical="center" wrapText="1"/>
    </xf>
    <xf numFmtId="49" fontId="58" fillId="0" borderId="3" xfId="0" applyNumberFormat="1" applyFont="1" applyBorder="1" applyAlignment="1">
      <alignment horizontal="center" vertical="center" wrapText="1"/>
    </xf>
    <xf numFmtId="49" fontId="58" fillId="0" borderId="30" xfId="0" applyNumberFormat="1" applyFont="1" applyBorder="1" applyAlignment="1">
      <alignment horizontal="center" vertical="center" wrapText="1"/>
    </xf>
    <xf numFmtId="49" fontId="58" fillId="0" borderId="32" xfId="0" applyNumberFormat="1" applyFont="1" applyBorder="1" applyAlignment="1">
      <alignment horizontal="center" vertical="center" wrapText="1"/>
    </xf>
    <xf numFmtId="49" fontId="58" fillId="0" borderId="50" xfId="0" applyNumberFormat="1" applyFont="1" applyBorder="1" applyAlignment="1">
      <alignment horizontal="center" vertical="center" wrapText="1"/>
    </xf>
    <xf numFmtId="16" fontId="8" fillId="2" borderId="3" xfId="0" applyNumberFormat="1" applyFont="1" applyFill="1" applyBorder="1" applyAlignment="1">
      <alignment horizontal="center" vertical="center"/>
    </xf>
    <xf numFmtId="164" fontId="12" fillId="2" borderId="3" xfId="0" applyNumberFormat="1" applyFont="1" applyFill="1" applyBorder="1" applyAlignment="1" applyProtection="1">
      <alignment horizontal="center" vertical="center"/>
      <protection locked="0"/>
    </xf>
    <xf numFmtId="49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3" xfId="0" applyNumberFormat="1" applyFont="1" applyFill="1" applyBorder="1" applyAlignment="1">
      <alignment horizontal="center" vertical="center"/>
    </xf>
    <xf numFmtId="16" fontId="12" fillId="2" borderId="3" xfId="0" applyNumberFormat="1" applyFont="1" applyFill="1" applyBorder="1" applyAlignment="1">
      <alignment horizontal="center" vertical="center"/>
    </xf>
    <xf numFmtId="49" fontId="46" fillId="2" borderId="3" xfId="0" applyNumberFormat="1" applyFont="1" applyFill="1" applyBorder="1" applyAlignment="1">
      <alignment horizontal="center" vertical="center" wrapText="1"/>
    </xf>
    <xf numFmtId="0" fontId="46" fillId="2" borderId="3" xfId="0" applyFont="1" applyFill="1" applyBorder="1" applyAlignment="1">
      <alignment horizontal="center" vertical="center" wrapText="1"/>
    </xf>
    <xf numFmtId="164" fontId="8" fillId="2" borderId="3" xfId="0" applyNumberFormat="1" applyFont="1" applyFill="1" applyBorder="1" applyAlignment="1" applyProtection="1">
      <alignment horizontal="center" vertical="center"/>
      <protection locked="0"/>
    </xf>
    <xf numFmtId="49" fontId="8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/>
    </xf>
    <xf numFmtId="49" fontId="47" fillId="2" borderId="3" xfId="0" applyNumberFormat="1" applyFont="1" applyFill="1" applyBorder="1" applyAlignment="1">
      <alignment horizontal="center" vertical="center" wrapText="1"/>
    </xf>
    <xf numFmtId="0" fontId="47" fillId="2" borderId="3" xfId="0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right" vertical="center" wrapText="1"/>
    </xf>
    <xf numFmtId="3" fontId="8" fillId="4" borderId="3" xfId="0" applyNumberFormat="1" applyFont="1" applyFill="1" applyBorder="1" applyAlignment="1" applyProtection="1">
      <alignment horizontal="center" vertical="center"/>
      <protection locked="0"/>
    </xf>
    <xf numFmtId="49" fontId="8" fillId="2" borderId="3" xfId="0" applyNumberFormat="1" applyFont="1" applyFill="1" applyBorder="1" applyAlignment="1">
      <alignment horizontal="right" vertical="center"/>
    </xf>
    <xf numFmtId="16" fontId="8" fillId="4" borderId="3" xfId="0" applyNumberFormat="1" applyFont="1" applyFill="1" applyBorder="1" applyAlignment="1" applyProtection="1">
      <alignment horizontal="center" vertical="center"/>
      <protection locked="0"/>
    </xf>
    <xf numFmtId="49" fontId="49" fillId="3" borderId="3" xfId="0" applyNumberFormat="1" applyFont="1" applyFill="1" applyBorder="1" applyAlignment="1">
      <alignment horizontal="center" vertical="center"/>
    </xf>
    <xf numFmtId="49" fontId="54" fillId="3" borderId="3" xfId="0" applyNumberFormat="1" applyFont="1" applyFill="1" applyBorder="1" applyAlignment="1">
      <alignment horizontal="right" vertical="center" indent="1"/>
    </xf>
    <xf numFmtId="49" fontId="10" fillId="4" borderId="3" xfId="0" applyNumberFormat="1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173" fontId="10" fillId="4" borderId="3" xfId="0" applyNumberFormat="1" applyFont="1" applyFill="1" applyBorder="1" applyAlignment="1" applyProtection="1">
      <alignment horizontal="center" vertical="center"/>
      <protection locked="0"/>
    </xf>
    <xf numFmtId="174" fontId="12" fillId="2" borderId="3" xfId="0" applyNumberFormat="1" applyFont="1" applyFill="1" applyBorder="1" applyAlignment="1" applyProtection="1">
      <alignment horizontal="center" vertical="center"/>
      <protection locked="0"/>
    </xf>
    <xf numFmtId="174" fontId="8" fillId="2" borderId="3" xfId="0" applyNumberFormat="1" applyFont="1" applyFill="1" applyBorder="1" applyAlignment="1" applyProtection="1">
      <alignment horizontal="center" vertical="center"/>
      <protection locked="0"/>
    </xf>
    <xf numFmtId="174" fontId="10" fillId="4" borderId="3" xfId="0" applyNumberFormat="1" applyFont="1" applyFill="1" applyBorder="1" applyAlignment="1" applyProtection="1">
      <alignment horizontal="center" vertical="center"/>
      <protection locked="0"/>
    </xf>
    <xf numFmtId="0" fontId="46" fillId="0" borderId="27" xfId="1" applyNumberFormat="1" applyFont="1" applyBorder="1" applyAlignment="1">
      <alignment horizontal="left" vertical="center" wrapText="1"/>
    </xf>
    <xf numFmtId="0" fontId="46" fillId="0" borderId="3" xfId="1" applyNumberFormat="1" applyFont="1" applyBorder="1" applyAlignment="1">
      <alignment horizontal="left" vertical="center" wrapText="1"/>
    </xf>
    <xf numFmtId="0" fontId="46" fillId="0" borderId="32" xfId="1" applyNumberFormat="1" applyFont="1" applyBorder="1" applyAlignment="1">
      <alignment horizontal="left" vertical="center" wrapText="1"/>
    </xf>
    <xf numFmtId="0" fontId="48" fillId="0" borderId="3" xfId="1" applyNumberFormat="1" applyFont="1" applyBorder="1" applyAlignment="1">
      <alignment horizontal="center" vertical="center" wrapText="1"/>
    </xf>
    <xf numFmtId="0" fontId="48" fillId="0" borderId="32" xfId="1" applyNumberFormat="1" applyFont="1" applyBorder="1" applyAlignment="1">
      <alignment horizontal="center" vertical="center" wrapText="1"/>
    </xf>
    <xf numFmtId="49" fontId="0" fillId="2" borderId="7" xfId="0" applyNumberForma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7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49" fontId="5" fillId="3" borderId="47" xfId="0" applyNumberFormat="1" applyFont="1" applyFill="1" applyBorder="1" applyAlignment="1">
      <alignment horizontal="center"/>
    </xf>
    <xf numFmtId="0" fontId="5" fillId="3" borderId="48" xfId="0" applyFont="1" applyFill="1" applyBorder="1" applyAlignment="1">
      <alignment horizontal="center"/>
    </xf>
    <xf numFmtId="49" fontId="52" fillId="2" borderId="3" xfId="0" applyNumberFormat="1" applyFont="1" applyFill="1" applyBorder="1" applyAlignment="1">
      <alignment horizontal="center" vertical="center"/>
    </xf>
    <xf numFmtId="49" fontId="52" fillId="2" borderId="42" xfId="0" applyNumberFormat="1" applyFont="1" applyFill="1" applyBorder="1" applyAlignment="1">
      <alignment horizontal="center" vertical="center"/>
    </xf>
    <xf numFmtId="49" fontId="4" fillId="3" borderId="43" xfId="0" applyNumberFormat="1" applyFont="1" applyFill="1" applyBorder="1" applyAlignment="1">
      <alignment horizontal="center"/>
    </xf>
    <xf numFmtId="49" fontId="4" fillId="3" borderId="44" xfId="0" applyNumberFormat="1" applyFont="1" applyFill="1" applyBorder="1" applyAlignment="1">
      <alignment horizontal="center"/>
    </xf>
    <xf numFmtId="49" fontId="52" fillId="2" borderId="17" xfId="0" applyNumberFormat="1" applyFont="1" applyFill="1" applyBorder="1" applyAlignment="1">
      <alignment horizontal="center" vertical="center"/>
    </xf>
    <xf numFmtId="49" fontId="52" fillId="2" borderId="18" xfId="0" applyNumberFormat="1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0" fontId="52" fillId="2" borderId="42" xfId="0" applyFont="1" applyFill="1" applyBorder="1" applyAlignment="1">
      <alignment horizontal="center" vertical="center"/>
    </xf>
    <xf numFmtId="49" fontId="21" fillId="0" borderId="22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4" borderId="22" xfId="0" applyNumberFormat="1" applyFont="1" applyFill="1" applyBorder="1" applyAlignment="1" applyProtection="1">
      <alignment horizontal="center" vertical="center"/>
      <protection locked="0"/>
    </xf>
    <xf numFmtId="0" fontId="21" fillId="4" borderId="23" xfId="0" applyFont="1" applyFill="1" applyBorder="1" applyAlignment="1" applyProtection="1">
      <alignment horizontal="center" vertical="center"/>
      <protection locked="0"/>
    </xf>
    <xf numFmtId="0" fontId="21" fillId="4" borderId="24" xfId="0" applyFont="1" applyFill="1" applyBorder="1" applyAlignment="1" applyProtection="1">
      <alignment horizontal="center" vertical="center"/>
      <protection locked="0"/>
    </xf>
    <xf numFmtId="49" fontId="8" fillId="0" borderId="20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49" fontId="8" fillId="4" borderId="20" xfId="0" applyNumberFormat="1" applyFont="1" applyFill="1" applyBorder="1" applyAlignment="1" applyProtection="1">
      <alignment horizontal="center" vertical="center"/>
      <protection locked="0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horizontal="center" vertical="center"/>
      <protection locked="0"/>
    </xf>
    <xf numFmtId="1" fontId="8" fillId="0" borderId="22" xfId="0" applyNumberFormat="1" applyFont="1" applyBorder="1" applyAlignment="1">
      <alignment horizontal="center" vertical="center"/>
    </xf>
    <xf numFmtId="1" fontId="8" fillId="0" borderId="24" xfId="0" applyNumberFormat="1" applyFont="1" applyBorder="1" applyAlignment="1">
      <alignment horizontal="center" vertical="center"/>
    </xf>
    <xf numFmtId="49" fontId="10" fillId="0" borderId="22" xfId="0" applyNumberFormat="1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170" fontId="21" fillId="2" borderId="22" xfId="0" applyNumberFormat="1" applyFont="1" applyFill="1" applyBorder="1" applyAlignment="1" applyProtection="1">
      <alignment horizontal="center" vertical="center"/>
    </xf>
    <xf numFmtId="170" fontId="21" fillId="2" borderId="24" xfId="0" applyNumberFormat="1" applyFont="1" applyFill="1" applyBorder="1" applyAlignment="1" applyProtection="1">
      <alignment horizontal="center" vertical="center"/>
    </xf>
    <xf numFmtId="49" fontId="36" fillId="2" borderId="22" xfId="0" applyNumberFormat="1" applyFont="1" applyFill="1" applyBorder="1" applyAlignment="1">
      <alignment horizontal="center" vertical="center"/>
    </xf>
    <xf numFmtId="49" fontId="36" fillId="2" borderId="24" xfId="0" applyNumberFormat="1" applyFont="1" applyFill="1" applyBorder="1" applyAlignment="1">
      <alignment horizontal="center" vertical="center"/>
    </xf>
    <xf numFmtId="0" fontId="8" fillId="4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4" xfId="0" applyFont="1" applyFill="1" applyBorder="1" applyAlignment="1" applyProtection="1">
      <alignment horizontal="center" vertical="center"/>
      <protection locked="0"/>
    </xf>
    <xf numFmtId="9" fontId="8" fillId="0" borderId="22" xfId="0" applyNumberFormat="1" applyFont="1" applyFill="1" applyBorder="1" applyAlignment="1" applyProtection="1">
      <alignment horizontal="center" vertical="center"/>
    </xf>
    <xf numFmtId="9" fontId="8" fillId="0" borderId="24" xfId="0" applyNumberFormat="1" applyFont="1" applyFill="1" applyBorder="1" applyAlignment="1" applyProtection="1">
      <alignment horizontal="center" vertical="center"/>
    </xf>
    <xf numFmtId="175" fontId="8" fillId="4" borderId="22" xfId="0" applyNumberFormat="1" applyFont="1" applyFill="1" applyBorder="1" applyAlignment="1" applyProtection="1">
      <alignment horizontal="center" vertical="center"/>
      <protection locked="0"/>
    </xf>
    <xf numFmtId="175" fontId="8" fillId="4" borderId="24" xfId="0" applyNumberFormat="1" applyFont="1" applyFill="1" applyBorder="1" applyAlignment="1" applyProtection="1">
      <alignment horizontal="center" vertical="center"/>
      <protection locked="0"/>
    </xf>
    <xf numFmtId="9" fontId="8" fillId="4" borderId="22" xfId="0" applyNumberFormat="1" applyFont="1" applyFill="1" applyBorder="1" applyAlignment="1" applyProtection="1">
      <alignment horizontal="center" vertical="center"/>
      <protection locked="0"/>
    </xf>
    <xf numFmtId="9" fontId="8" fillId="4" borderId="24" xfId="0" applyNumberFormat="1" applyFont="1" applyFill="1" applyBorder="1" applyAlignment="1" applyProtection="1">
      <alignment horizontal="center" vertical="center"/>
      <protection locked="0"/>
    </xf>
    <xf numFmtId="175" fontId="8" fillId="0" borderId="22" xfId="0" applyNumberFormat="1" applyFont="1" applyBorder="1" applyAlignment="1">
      <alignment horizontal="center" vertical="center"/>
    </xf>
    <xf numFmtId="175" fontId="8" fillId="0" borderId="24" xfId="0" applyNumberFormat="1" applyFont="1" applyBorder="1" applyAlignment="1">
      <alignment horizontal="center" vertical="center"/>
    </xf>
    <xf numFmtId="49" fontId="10" fillId="0" borderId="23" xfId="0" applyNumberFormat="1" applyFont="1" applyBorder="1" applyAlignment="1">
      <alignment horizontal="center" vertical="center"/>
    </xf>
    <xf numFmtId="49" fontId="42" fillId="2" borderId="3" xfId="0" applyNumberFormat="1" applyFont="1" applyFill="1" applyBorder="1" applyAlignment="1">
      <alignment horizontal="center" vertical="center" wrapText="1"/>
    </xf>
    <xf numFmtId="49" fontId="20" fillId="3" borderId="3" xfId="0" applyNumberFormat="1" applyFont="1" applyFill="1" applyBorder="1" applyAlignment="1">
      <alignment horizontal="center" vertical="center"/>
    </xf>
    <xf numFmtId="0" fontId="41" fillId="2" borderId="35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0" fontId="41" fillId="2" borderId="36" xfId="0" applyFont="1" applyFill="1" applyBorder="1" applyAlignment="1">
      <alignment horizontal="center" vertical="center" wrapText="1"/>
    </xf>
    <xf numFmtId="0" fontId="41" fillId="2" borderId="39" xfId="0" applyFont="1" applyFill="1" applyBorder="1" applyAlignment="1">
      <alignment horizontal="center" vertical="center" wrapText="1"/>
    </xf>
    <xf numFmtId="0" fontId="41" fillId="2" borderId="40" xfId="0" applyFont="1" applyFill="1" applyBorder="1" applyAlignment="1">
      <alignment horizontal="center" vertical="center" wrapText="1"/>
    </xf>
    <xf numFmtId="0" fontId="41" fillId="2" borderId="41" xfId="0" applyFont="1" applyFill="1" applyBorder="1" applyAlignment="1">
      <alignment horizontal="center" vertical="center" wrapText="1"/>
    </xf>
    <xf numFmtId="49" fontId="8" fillId="2" borderId="25" xfId="0" applyNumberFormat="1" applyFont="1" applyFill="1" applyBorder="1" applyAlignment="1">
      <alignment horizontal="center" vertical="center"/>
    </xf>
    <xf numFmtId="175" fontId="16" fillId="0" borderId="25" xfId="0" applyNumberFormat="1" applyFont="1" applyBorder="1" applyAlignment="1">
      <alignment horizontal="center" vertical="center"/>
    </xf>
    <xf numFmtId="49" fontId="8" fillId="2" borderId="25" xfId="0" applyNumberFormat="1" applyFont="1" applyFill="1" applyBorder="1" applyAlignment="1">
      <alignment horizontal="center" vertical="center" wrapText="1"/>
    </xf>
    <xf numFmtId="175" fontId="17" fillId="0" borderId="37" xfId="0" applyNumberFormat="1" applyFont="1" applyBorder="1" applyAlignment="1">
      <alignment horizontal="center" vertical="center"/>
    </xf>
    <xf numFmtId="175" fontId="17" fillId="0" borderId="3" xfId="0" applyNumberFormat="1" applyFont="1" applyBorder="1" applyAlignment="1">
      <alignment horizontal="center" vertical="center"/>
    </xf>
    <xf numFmtId="175" fontId="17" fillId="0" borderId="38" xfId="0" applyNumberFormat="1" applyFont="1" applyBorder="1" applyAlignment="1">
      <alignment horizontal="center" vertical="center"/>
    </xf>
    <xf numFmtId="175" fontId="17" fillId="0" borderId="39" xfId="0" applyNumberFormat="1" applyFont="1" applyBorder="1" applyAlignment="1">
      <alignment horizontal="center" vertical="center"/>
    </xf>
    <xf numFmtId="175" fontId="17" fillId="0" borderId="40" xfId="0" applyNumberFormat="1" applyFont="1" applyBorder="1" applyAlignment="1">
      <alignment horizontal="center" vertical="center"/>
    </xf>
    <xf numFmtId="175" fontId="17" fillId="0" borderId="41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0" fontId="19" fillId="2" borderId="3" xfId="0" applyFont="1" applyFill="1" applyBorder="1" applyAlignment="1">
      <alignment vertical="top"/>
    </xf>
    <xf numFmtId="49" fontId="32" fillId="2" borderId="3" xfId="0" applyNumberFormat="1" applyFont="1" applyFill="1" applyBorder="1" applyAlignment="1">
      <alignment horizontal="right" vertical="top"/>
    </xf>
  </cellXfs>
  <cellStyles count="2">
    <cellStyle name="Normal" xfId="0" builtinId="0"/>
    <cellStyle name="Normal 2" xfId="1" xr:uid="{62C88D04-8021-48D8-AAA9-81117315A09F}"/>
  </cellStyles>
  <dxfs count="2">
    <dxf>
      <font>
        <color rgb="FFA5B6CA"/>
      </font>
      <fill>
        <patternFill patternType="solid">
          <fgColor indexed="13"/>
          <bgColor indexed="15"/>
        </patternFill>
      </fill>
    </dxf>
    <dxf>
      <font>
        <color rgb="FFFF99FF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70C0"/>
      <rgbColor rgb="FFAAAAAA"/>
      <rgbColor rgb="FFFFFF00"/>
      <rgbColor rgb="00000000"/>
      <rgbColor rgb="FFFF99FF"/>
      <rgbColor rgb="FFA5B6CA"/>
      <rgbColor rgb="FFFF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34469"/>
      <color rgb="FFFCD634"/>
      <color rgb="FFE13B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69684</xdr:colOff>
      <xdr:row>8</xdr:row>
      <xdr:rowOff>508154</xdr:rowOff>
    </xdr:from>
    <xdr:to>
      <xdr:col>2</xdr:col>
      <xdr:colOff>1171865</xdr:colOff>
      <xdr:row>10</xdr:row>
      <xdr:rowOff>30514</xdr:rowOff>
    </xdr:to>
    <xdr:pic>
      <xdr:nvPicPr>
        <xdr:cNvPr id="2" name="Picture 1" descr="Picture 1">
          <a:extLst>
            <a:ext uri="{FF2B5EF4-FFF2-40B4-BE49-F238E27FC236}">
              <a16:creationId xmlns:a16="http://schemas.microsoft.com/office/drawing/2014/main" id="{CA659262-7BF7-44D7-90AA-DEF2242C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764" y="1811174"/>
          <a:ext cx="1102181" cy="474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</xdr:colOff>
      <xdr:row>11</xdr:row>
      <xdr:rowOff>287</xdr:rowOff>
    </xdr:from>
    <xdr:to>
      <xdr:col>2</xdr:col>
      <xdr:colOff>1071997</xdr:colOff>
      <xdr:row>12</xdr:row>
      <xdr:rowOff>8546</xdr:rowOff>
    </xdr:to>
    <xdr:pic>
      <xdr:nvPicPr>
        <xdr:cNvPr id="3" name="Picture 2" descr="Picture 2">
          <a:extLst>
            <a:ext uri="{FF2B5EF4-FFF2-40B4-BE49-F238E27FC236}">
              <a16:creationId xmlns:a16="http://schemas.microsoft.com/office/drawing/2014/main" id="{0CF95C1A-C5CF-4FA5-8548-D816DDA7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801" y="2354867"/>
          <a:ext cx="1069276" cy="442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</xdr:row>
      <xdr:rowOff>98424</xdr:rowOff>
    </xdr:from>
    <xdr:to>
      <xdr:col>2</xdr:col>
      <xdr:colOff>1206501</xdr:colOff>
      <xdr:row>13</xdr:row>
      <xdr:rowOff>326951</xdr:rowOff>
    </xdr:to>
    <xdr:pic>
      <xdr:nvPicPr>
        <xdr:cNvPr id="4" name="Picture 3" descr="Picture 3">
          <a:extLst>
            <a:ext uri="{FF2B5EF4-FFF2-40B4-BE49-F238E27FC236}">
              <a16:creationId xmlns:a16="http://schemas.microsoft.com/office/drawing/2014/main" id="{C23B6859-2C78-4136-A44E-EE2F0612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2887344"/>
          <a:ext cx="1206501" cy="327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118535</xdr:colOff>
      <xdr:row>14</xdr:row>
      <xdr:rowOff>87547</xdr:rowOff>
    </xdr:from>
    <xdr:to>
      <xdr:col>2</xdr:col>
      <xdr:colOff>1219200</xdr:colOff>
      <xdr:row>16</xdr:row>
      <xdr:rowOff>26079</xdr:rowOff>
    </xdr:to>
    <xdr:pic>
      <xdr:nvPicPr>
        <xdr:cNvPr id="5" name="Picture 4" descr="Picture 4">
          <a:extLst>
            <a:ext uri="{FF2B5EF4-FFF2-40B4-BE49-F238E27FC236}">
              <a16:creationId xmlns:a16="http://schemas.microsoft.com/office/drawing/2014/main" id="{0625D17B-D1AC-4B7C-9E8D-0F9B04F9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95" y="3409867"/>
          <a:ext cx="1222585" cy="4719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162801</xdr:colOff>
      <xdr:row>25</xdr:row>
      <xdr:rowOff>186268</xdr:rowOff>
    </xdr:from>
    <xdr:to>
      <xdr:col>16</xdr:col>
      <xdr:colOff>117094</xdr:colOff>
      <xdr:row>32</xdr:row>
      <xdr:rowOff>8468</xdr:rowOff>
    </xdr:to>
    <xdr:pic>
      <xdr:nvPicPr>
        <xdr:cNvPr id="6" name="Picture 5" descr="Picture 6">
          <a:extLst>
            <a:ext uri="{FF2B5EF4-FFF2-40B4-BE49-F238E27FC236}">
              <a16:creationId xmlns:a16="http://schemas.microsoft.com/office/drawing/2014/main" id="{368ECADD-964B-487B-82D1-BA6FB028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5421" y="6007948"/>
          <a:ext cx="1996453" cy="12090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69684</xdr:colOff>
      <xdr:row>8</xdr:row>
      <xdr:rowOff>508154</xdr:rowOff>
    </xdr:from>
    <xdr:to>
      <xdr:col>2</xdr:col>
      <xdr:colOff>1171865</xdr:colOff>
      <xdr:row>10</xdr:row>
      <xdr:rowOff>30514</xdr:rowOff>
    </xdr:to>
    <xdr:pic>
      <xdr:nvPicPr>
        <xdr:cNvPr id="2" name="Picture 1" descr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784" y="1803554"/>
          <a:ext cx="1102181" cy="474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</xdr:colOff>
      <xdr:row>11</xdr:row>
      <xdr:rowOff>287</xdr:rowOff>
    </xdr:from>
    <xdr:to>
      <xdr:col>2</xdr:col>
      <xdr:colOff>1071997</xdr:colOff>
      <xdr:row>12</xdr:row>
      <xdr:rowOff>8546</xdr:rowOff>
    </xdr:to>
    <xdr:pic>
      <xdr:nvPicPr>
        <xdr:cNvPr id="3" name="Picture 2" descr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821" y="2349787"/>
          <a:ext cx="1069276" cy="440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</xdr:row>
      <xdr:rowOff>98424</xdr:rowOff>
    </xdr:from>
    <xdr:to>
      <xdr:col>2</xdr:col>
      <xdr:colOff>1206501</xdr:colOff>
      <xdr:row>13</xdr:row>
      <xdr:rowOff>326951</xdr:rowOff>
    </xdr:to>
    <xdr:pic>
      <xdr:nvPicPr>
        <xdr:cNvPr id="4" name="Picture 3" descr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2879724"/>
          <a:ext cx="1206501" cy="330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21</xdr:col>
      <xdr:colOff>167640</xdr:colOff>
      <xdr:row>22</xdr:row>
      <xdr:rowOff>38100</xdr:rowOff>
    </xdr:from>
    <xdr:to>
      <xdr:col>27</xdr:col>
      <xdr:colOff>365152</xdr:colOff>
      <xdr:row>31</xdr:row>
      <xdr:rowOff>129540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8B9E3290-2CD1-4AEA-BBF9-7EFBC65BBE3A}"/>
            </a:ext>
          </a:extLst>
        </xdr:cNvPr>
        <xdr:cNvGrpSpPr/>
      </xdr:nvGrpSpPr>
      <xdr:grpSpPr>
        <a:xfrm>
          <a:off x="6911340" y="5128260"/>
          <a:ext cx="2696872" cy="1874520"/>
          <a:chOff x="232834" y="5040203"/>
          <a:chExt cx="2211916" cy="154254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47F3C0C6-FB6F-7BD4-980D-A9F4699072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85333" y="5040203"/>
            <a:ext cx="1259417" cy="150080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8EE13D61-4F94-8A0F-F9BC-6E9FA56844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32834" y="5040797"/>
            <a:ext cx="1258419" cy="149961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3CDB845-F44A-7165-4A72-0396908824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66751" y="5083129"/>
            <a:ext cx="1258419" cy="149961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76199</xdr:colOff>
      <xdr:row>15</xdr:row>
      <xdr:rowOff>27154</xdr:rowOff>
    </xdr:from>
    <xdr:to>
      <xdr:col>2</xdr:col>
      <xdr:colOff>1143003</xdr:colOff>
      <xdr:row>15</xdr:row>
      <xdr:rowOff>365759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5392F5B-DF0D-5F99-2667-D8F3805C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3448534"/>
          <a:ext cx="1181104" cy="3386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217119</xdr:colOff>
      <xdr:row>2</xdr:row>
      <xdr:rowOff>309244</xdr:rowOff>
    </xdr:from>
    <xdr:to>
      <xdr:col>1</xdr:col>
      <xdr:colOff>2501900</xdr:colOff>
      <xdr:row>6</xdr:row>
      <xdr:rowOff>34925</xdr:rowOff>
    </xdr:to>
    <xdr:pic>
      <xdr:nvPicPr>
        <xdr:cNvPr id="10" name="Picture 1" descr="Picture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150" y="1182369"/>
          <a:ext cx="2284781" cy="995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127634</xdr:colOff>
      <xdr:row>6</xdr:row>
      <xdr:rowOff>115888</xdr:rowOff>
    </xdr:from>
    <xdr:to>
      <xdr:col>1</xdr:col>
      <xdr:colOff>2536825</xdr:colOff>
      <xdr:row>10</xdr:row>
      <xdr:rowOff>101552</xdr:rowOff>
    </xdr:to>
    <xdr:pic>
      <xdr:nvPicPr>
        <xdr:cNvPr id="12" name="Picture 3" descr="Pictur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665" y="2259013"/>
          <a:ext cx="2409191" cy="10969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116681</xdr:colOff>
      <xdr:row>10</xdr:row>
      <xdr:rowOff>208439</xdr:rowOff>
    </xdr:from>
    <xdr:to>
      <xdr:col>1</xdr:col>
      <xdr:colOff>2433162</xdr:colOff>
      <xdr:row>13</xdr:row>
      <xdr:rowOff>797083</xdr:rowOff>
    </xdr:to>
    <xdr:pic>
      <xdr:nvPicPr>
        <xdr:cNvPr id="13" name="Picture 4" descr="Picture 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712" y="3462814"/>
          <a:ext cx="2316481" cy="826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152400</xdr:colOff>
      <xdr:row>17</xdr:row>
      <xdr:rowOff>182880</xdr:rowOff>
    </xdr:from>
    <xdr:to>
      <xdr:col>1</xdr:col>
      <xdr:colOff>2491415</xdr:colOff>
      <xdr:row>17</xdr:row>
      <xdr:rowOff>853440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E4A63-118B-46FF-9A8F-FC136580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4800600"/>
          <a:ext cx="2339015" cy="6705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36284</xdr:colOff>
      <xdr:row>22</xdr:row>
      <xdr:rowOff>136632</xdr:rowOff>
    </xdr:from>
    <xdr:to>
      <xdr:col>25</xdr:col>
      <xdr:colOff>123065</xdr:colOff>
      <xdr:row>27</xdr:row>
      <xdr:rowOff>51562</xdr:rowOff>
    </xdr:to>
    <xdr:pic>
      <xdr:nvPicPr>
        <xdr:cNvPr id="15" name="Picture 2" descr="Picture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4963" y="5402596"/>
          <a:ext cx="1606245" cy="8538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169889</xdr:colOff>
      <xdr:row>22</xdr:row>
      <xdr:rowOff>67348</xdr:rowOff>
    </xdr:from>
    <xdr:to>
      <xdr:col>5</xdr:col>
      <xdr:colOff>169281</xdr:colOff>
      <xdr:row>29</xdr:row>
      <xdr:rowOff>19136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02391FE-4ABC-7E46-8093-3527FAF87361}"/>
            </a:ext>
          </a:extLst>
        </xdr:cNvPr>
        <xdr:cNvGrpSpPr/>
      </xdr:nvGrpSpPr>
      <xdr:grpSpPr>
        <a:xfrm>
          <a:off x="169889" y="5309908"/>
          <a:ext cx="1744372" cy="1506268"/>
          <a:chOff x="232834" y="5040203"/>
          <a:chExt cx="2211916" cy="154254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FC85345-3334-533D-F2F7-F0BEF1DC77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85333" y="5040203"/>
            <a:ext cx="1259417" cy="150080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FD8DF46-CD0E-945C-2D9F-81E439314A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32834" y="5040797"/>
            <a:ext cx="1258419" cy="149961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30B9031-6566-AB47-DD53-CADB105C0E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66751" y="5083129"/>
            <a:ext cx="1258419" cy="149961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2DEE5-2D88-447A-85F7-AEF7D05025D0}">
  <sheetPr>
    <pageSetUpPr fitToPage="1"/>
  </sheetPr>
  <dimension ref="A1:IV51"/>
  <sheetViews>
    <sheetView showGridLines="0" zoomScale="90" zoomScaleNormal="90" workbookViewId="0">
      <selection activeCell="AA7" sqref="AA7:AB7"/>
    </sheetView>
  </sheetViews>
  <sheetFormatPr defaultColWidth="8.77734375" defaultRowHeight="15.75" customHeight="1"/>
  <cols>
    <col min="1" max="1" width="2.109375" style="140" customWidth="1"/>
    <col min="2" max="2" width="1.6640625" style="140" customWidth="1"/>
    <col min="3" max="3" width="18.33203125" style="140" customWidth="1"/>
    <col min="4" max="4" width="1.33203125" style="140" customWidth="1"/>
    <col min="5" max="6" width="4.44140625" style="140" customWidth="1"/>
    <col min="7" max="7" width="4.77734375" style="140" hidden="1" customWidth="1"/>
    <col min="8" max="12" width="2.77734375" style="140" customWidth="1"/>
    <col min="13" max="14" width="3.109375" style="140" customWidth="1"/>
    <col min="15" max="15" width="0.77734375" style="140" customWidth="1"/>
    <col min="16" max="17" width="4.44140625" style="140" customWidth="1"/>
    <col min="18" max="18" width="7.44140625" style="140" customWidth="1"/>
    <col min="19" max="19" width="11.44140625" style="140" customWidth="1"/>
    <col min="20" max="20" width="10.77734375" style="140" customWidth="1"/>
    <col min="21" max="21" width="8.77734375" style="140" hidden="1" customWidth="1"/>
    <col min="22" max="22" width="12.77734375" style="140" customWidth="1"/>
    <col min="23" max="23" width="4" style="140" customWidth="1"/>
    <col min="24" max="24" width="4.33203125" style="140" customWidth="1"/>
    <col min="25" max="26" width="4.6640625" style="140" customWidth="1"/>
    <col min="27" max="28" width="6" style="140" customWidth="1"/>
    <col min="29" max="29" width="1.44140625" style="140" customWidth="1"/>
    <col min="30" max="30" width="2.44140625" style="140" customWidth="1"/>
    <col min="31" max="31" width="8" style="140" customWidth="1"/>
    <col min="32" max="256" width="8.77734375" style="140" customWidth="1"/>
    <col min="257" max="16384" width="8.77734375" style="141"/>
  </cols>
  <sheetData>
    <row r="1" spans="1:245" ht="7.95" customHeight="1" thickTop="1">
      <c r="A1" s="137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9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  <c r="GI1" s="103"/>
      <c r="GJ1" s="103"/>
      <c r="GK1" s="103"/>
      <c r="GL1" s="103"/>
      <c r="GM1" s="103"/>
      <c r="GN1" s="103"/>
      <c r="GO1" s="103"/>
      <c r="GP1" s="103"/>
      <c r="GQ1" s="103"/>
      <c r="GR1" s="103"/>
      <c r="GS1" s="103"/>
      <c r="GT1" s="103"/>
      <c r="GU1" s="103"/>
      <c r="GV1" s="103"/>
      <c r="GW1" s="103"/>
      <c r="GX1" s="103"/>
      <c r="GY1" s="103"/>
      <c r="GZ1" s="103"/>
      <c r="HA1" s="103"/>
      <c r="HB1" s="103"/>
      <c r="HC1" s="103"/>
      <c r="HD1" s="103"/>
      <c r="HE1" s="103"/>
      <c r="HF1" s="103"/>
      <c r="HG1" s="103"/>
      <c r="HH1" s="103"/>
      <c r="HI1" s="103"/>
      <c r="HJ1" s="103"/>
      <c r="HK1" s="103"/>
      <c r="HL1" s="103"/>
      <c r="HM1" s="103"/>
      <c r="HN1" s="103"/>
      <c r="HO1" s="103"/>
      <c r="HP1" s="103"/>
      <c r="HQ1" s="103"/>
      <c r="HR1" s="103"/>
      <c r="HS1" s="103"/>
      <c r="HT1" s="103"/>
      <c r="HU1" s="103"/>
      <c r="HV1" s="103"/>
      <c r="HW1" s="103"/>
      <c r="HX1" s="103"/>
      <c r="HY1" s="103"/>
      <c r="HZ1" s="103"/>
      <c r="IA1" s="103"/>
      <c r="IB1" s="103"/>
      <c r="IC1" s="103"/>
      <c r="ID1" s="103"/>
      <c r="IE1" s="103"/>
      <c r="IF1" s="103"/>
      <c r="IG1" s="103"/>
      <c r="IH1" s="103"/>
      <c r="II1" s="103"/>
      <c r="IJ1" s="103"/>
      <c r="IK1" s="103"/>
    </row>
    <row r="2" spans="1:245" ht="19.2" customHeight="1">
      <c r="A2" s="142"/>
      <c r="B2" s="101"/>
      <c r="C2" s="264" t="s">
        <v>1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5" t="s">
        <v>0</v>
      </c>
      <c r="U2" s="265"/>
      <c r="V2" s="265"/>
      <c r="W2" s="265"/>
      <c r="X2" s="265"/>
      <c r="Y2" s="265"/>
      <c r="Z2" s="265"/>
      <c r="AA2" s="266" t="s">
        <v>87</v>
      </c>
      <c r="AB2" s="267"/>
      <c r="AC2" s="143"/>
      <c r="AD2" s="144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</row>
    <row r="3" spans="1:245" ht="19.2" customHeight="1">
      <c r="A3" s="142"/>
      <c r="B3" s="145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5" t="s">
        <v>2</v>
      </c>
      <c r="U3" s="265"/>
      <c r="V3" s="265"/>
      <c r="W3" s="265"/>
      <c r="X3" s="265"/>
      <c r="Y3" s="265"/>
      <c r="Z3" s="265"/>
      <c r="AA3" s="268">
        <v>15</v>
      </c>
      <c r="AB3" s="268"/>
      <c r="AC3" s="143"/>
      <c r="AD3" s="144"/>
      <c r="AE3" s="103"/>
      <c r="AF3" s="110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</row>
    <row r="4" spans="1:245" ht="19.2" customHeight="1">
      <c r="A4" s="142"/>
      <c r="B4" s="145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5" t="s">
        <v>3</v>
      </c>
      <c r="U4" s="265"/>
      <c r="V4" s="265"/>
      <c r="W4" s="265"/>
      <c r="X4" s="265"/>
      <c r="Y4" s="265"/>
      <c r="Z4" s="265"/>
      <c r="AA4" s="266" t="s">
        <v>88</v>
      </c>
      <c r="AB4" s="267"/>
      <c r="AC4" s="143"/>
      <c r="AD4" s="144"/>
      <c r="AE4" s="103"/>
      <c r="AF4" s="110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</row>
    <row r="5" spans="1:245" ht="7.95" customHeight="1">
      <c r="A5" s="142"/>
      <c r="B5" s="145"/>
      <c r="C5" s="145"/>
      <c r="D5" s="146"/>
      <c r="E5" s="146"/>
      <c r="F5" s="146"/>
      <c r="G5" s="147"/>
      <c r="H5" s="146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6"/>
      <c r="T5" s="146"/>
      <c r="U5" s="146"/>
      <c r="V5" s="146"/>
      <c r="W5" s="146"/>
      <c r="X5" s="143"/>
      <c r="Y5" s="143"/>
      <c r="Z5" s="143"/>
      <c r="AA5" s="143"/>
      <c r="AB5" s="143"/>
      <c r="AC5" s="143"/>
      <c r="AD5" s="144"/>
      <c r="AE5" s="103"/>
      <c r="AF5" s="110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</row>
    <row r="6" spans="1:245" ht="8.5500000000000007" customHeight="1">
      <c r="A6" s="14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44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</row>
    <row r="7" spans="1:245" ht="19.95" customHeight="1">
      <c r="A7" s="142"/>
      <c r="B7" s="260" t="s">
        <v>6</v>
      </c>
      <c r="C7" s="260"/>
      <c r="D7" s="260"/>
      <c r="E7" s="260"/>
      <c r="F7" s="260"/>
      <c r="G7" s="260"/>
      <c r="H7" s="260"/>
      <c r="I7" s="260"/>
      <c r="J7" s="261">
        <v>1000</v>
      </c>
      <c r="K7" s="261"/>
      <c r="L7" s="261"/>
      <c r="M7" s="188"/>
      <c r="N7" s="211"/>
      <c r="O7" s="189"/>
      <c r="P7" s="189"/>
      <c r="Q7" s="262" t="s">
        <v>4</v>
      </c>
      <c r="R7" s="262"/>
      <c r="S7" s="262"/>
      <c r="T7" s="221" t="s">
        <v>7</v>
      </c>
      <c r="U7" s="177"/>
      <c r="V7" s="262" t="s">
        <v>5</v>
      </c>
      <c r="W7" s="262"/>
      <c r="X7" s="262"/>
      <c r="Y7" s="262"/>
      <c r="Z7" s="262"/>
      <c r="AA7" s="263">
        <v>44125</v>
      </c>
      <c r="AB7" s="263"/>
      <c r="AC7" s="149"/>
      <c r="AD7" s="144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</row>
    <row r="8" spans="1:245" ht="1.2" customHeight="1">
      <c r="A8" s="142"/>
      <c r="B8" s="103"/>
      <c r="C8" s="190" t="s">
        <v>8</v>
      </c>
      <c r="D8" s="183"/>
      <c r="E8" s="183"/>
      <c r="F8" s="183"/>
      <c r="G8" s="183"/>
      <c r="H8" s="184"/>
      <c r="I8" s="184"/>
      <c r="J8" s="184"/>
      <c r="K8" s="184"/>
      <c r="L8" s="184"/>
      <c r="M8" s="184"/>
      <c r="N8" s="184"/>
      <c r="O8" s="184"/>
      <c r="P8" s="191">
        <f>AA7</f>
        <v>44125</v>
      </c>
      <c r="Q8" s="192"/>
      <c r="R8" s="192"/>
      <c r="S8" s="193"/>
      <c r="T8" s="193"/>
      <c r="U8" s="193"/>
      <c r="V8" s="193"/>
      <c r="W8" s="184"/>
      <c r="X8" s="184"/>
      <c r="Y8" s="184"/>
      <c r="Z8" s="184"/>
      <c r="AA8" s="184"/>
      <c r="AB8" s="184"/>
      <c r="AC8" s="103"/>
      <c r="AD8" s="144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</row>
    <row r="9" spans="1:245" ht="41.25" customHeight="1">
      <c r="A9" s="152"/>
      <c r="B9" s="103"/>
      <c r="C9" s="194"/>
      <c r="D9" s="184"/>
      <c r="E9" s="252" t="s">
        <v>9</v>
      </c>
      <c r="F9" s="253"/>
      <c r="G9" s="200"/>
      <c r="H9" s="252" t="s">
        <v>10</v>
      </c>
      <c r="I9" s="253"/>
      <c r="J9" s="253"/>
      <c r="K9" s="253"/>
      <c r="L9" s="252" t="s">
        <v>11</v>
      </c>
      <c r="M9" s="253"/>
      <c r="N9" s="253"/>
      <c r="O9" s="253"/>
      <c r="P9" s="258" t="s">
        <v>12</v>
      </c>
      <c r="Q9" s="259"/>
      <c r="R9" s="201" t="s">
        <v>13</v>
      </c>
      <c r="S9" s="199" t="s">
        <v>14</v>
      </c>
      <c r="T9" s="199" t="s">
        <v>15</v>
      </c>
      <c r="U9" s="202"/>
      <c r="V9" s="201" t="s">
        <v>16</v>
      </c>
      <c r="W9" s="252" t="s">
        <v>17</v>
      </c>
      <c r="X9" s="253"/>
      <c r="Y9" s="252" t="s">
        <v>18</v>
      </c>
      <c r="Z9" s="253"/>
      <c r="AA9" s="252" t="s">
        <v>86</v>
      </c>
      <c r="AB9" s="253"/>
      <c r="AC9" s="154"/>
      <c r="AD9" s="155"/>
      <c r="AE9" s="150"/>
      <c r="AF9" s="150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</row>
    <row r="10" spans="1:245" ht="34.5" customHeight="1">
      <c r="A10" s="142"/>
      <c r="B10" s="103"/>
      <c r="C10" s="153"/>
      <c r="D10" s="103"/>
      <c r="E10" s="254">
        <v>243</v>
      </c>
      <c r="F10" s="254"/>
      <c r="G10" s="171">
        <f>ROUNDDOWN((E10/(VLOOKUP($T$7,Sheet2!$A$3:$N$6,4,FALSE)))*100,1)</f>
        <v>97.2</v>
      </c>
      <c r="H10" s="255" t="str">
        <f>CONCATENATE(G10,Sheet2!$D$8)</f>
        <v>97.2c</v>
      </c>
      <c r="I10" s="256"/>
      <c r="J10" s="256"/>
      <c r="K10" s="256"/>
      <c r="L10" s="257">
        <v>19</v>
      </c>
      <c r="M10" s="256"/>
      <c r="N10" s="256"/>
      <c r="O10" s="256"/>
      <c r="P10" s="255" t="str">
        <f>Sheet2!H94</f>
        <v>6.3c</v>
      </c>
      <c r="Q10" s="256"/>
      <c r="R10" s="173">
        <v>1</v>
      </c>
      <c r="S10" s="174" t="str">
        <f>VLOOKUP(R10,Sheet2!$E$87:$J$89,6,FALSE)</f>
        <v>3.22 hours</v>
      </c>
      <c r="T10" s="170">
        <f>(((VLOOKUP($AA$4,Sheet2!$C$97:$D$105,2,FALSE)*$J$7)/3600*$AA$3)+(VLOOKUP($AA$2,Sheet2!$C$87:$D$95,2,FALSE)*$AA$3))*$R10</f>
        <v>48.333333333333336</v>
      </c>
      <c r="U10" s="175">
        <f>T10*100</f>
        <v>4833.3333333333339</v>
      </c>
      <c r="V10" s="172" t="str">
        <f>Sheet2!L94</f>
        <v>10.8c</v>
      </c>
      <c r="W10" s="257">
        <v>40</v>
      </c>
      <c r="X10" s="256"/>
      <c r="Y10" s="246">
        <f>$AA$7+W10</f>
        <v>44165</v>
      </c>
      <c r="Z10" s="246"/>
      <c r="AA10" s="246">
        <f>$AA$7+Sheet2!S3</f>
        <v>44258</v>
      </c>
      <c r="AB10" s="246"/>
      <c r="AC10" s="156"/>
      <c r="AD10" s="144"/>
      <c r="AE10" s="104"/>
      <c r="AF10" s="104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</row>
    <row r="11" spans="1:245" ht="7.95" customHeight="1">
      <c r="A11" s="142"/>
      <c r="B11" s="103"/>
      <c r="C11" s="103"/>
      <c r="D11" s="151"/>
      <c r="E11" s="176"/>
      <c r="F11" s="177"/>
      <c r="G11" s="178"/>
      <c r="H11" s="179"/>
      <c r="I11" s="180"/>
      <c r="J11" s="180"/>
      <c r="K11" s="180"/>
      <c r="L11" s="177"/>
      <c r="M11" s="177"/>
      <c r="N11" s="177"/>
      <c r="O11" s="177"/>
      <c r="P11" s="181"/>
      <c r="Q11" s="181"/>
      <c r="R11" s="182"/>
      <c r="S11" s="183"/>
      <c r="T11" s="183"/>
      <c r="U11" s="184"/>
      <c r="V11" s="181"/>
      <c r="W11" s="177"/>
      <c r="X11" s="177"/>
      <c r="Y11" s="177"/>
      <c r="Z11" s="177"/>
      <c r="AA11" s="185"/>
      <c r="AB11" s="185"/>
      <c r="AC11" s="157"/>
      <c r="AD11" s="144"/>
      <c r="AE11" s="104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</row>
    <row r="12" spans="1:245" ht="34.5" customHeight="1">
      <c r="A12" s="142"/>
      <c r="B12" s="103"/>
      <c r="C12" s="153"/>
      <c r="D12" s="103"/>
      <c r="E12" s="247">
        <v>238</v>
      </c>
      <c r="F12" s="247"/>
      <c r="G12" s="180">
        <f>ROUNDDOWN((E12/(VLOOKUP($T$7,Sheet2!$A$3:$N$6,6,FALSE)))*100,1)</f>
        <v>95.2</v>
      </c>
      <c r="H12" s="248" t="str">
        <f>CONCATENATE(G12,Sheet2!$D$8)</f>
        <v>95.2c</v>
      </c>
      <c r="I12" s="249"/>
      <c r="J12" s="249"/>
      <c r="K12" s="249"/>
      <c r="L12" s="250">
        <v>16</v>
      </c>
      <c r="M12" s="249"/>
      <c r="N12" s="249"/>
      <c r="O12" s="249"/>
      <c r="P12" s="248" t="str">
        <f>Sheet2!H96</f>
        <v>7.6c</v>
      </c>
      <c r="Q12" s="249"/>
      <c r="R12" s="186">
        <v>1</v>
      </c>
      <c r="S12" s="174" t="str">
        <f>VLOOKUP(R12,Sheet2!$E$87:$J$89,6,FALSE)</f>
        <v>3.22 hours</v>
      </c>
      <c r="T12" s="222">
        <f>(((VLOOKUP($AA$4,Sheet2!$C$97:$D$105,2,FALSE)*$J$7)/3600*$AA$3)+(VLOOKUP($AA$2,Sheet2!$C$87:$D$95,2,FALSE)*$AA$3))*$R12</f>
        <v>48.333333333333336</v>
      </c>
      <c r="U12" s="175">
        <f>T12*100</f>
        <v>4833.3333333333339</v>
      </c>
      <c r="V12" s="174" t="str">
        <f>Sheet2!L96</f>
        <v>12.1c</v>
      </c>
      <c r="W12" s="250">
        <v>40</v>
      </c>
      <c r="X12" s="249"/>
      <c r="Y12" s="251">
        <f>$AA$7+W12</f>
        <v>44165</v>
      </c>
      <c r="Z12" s="251"/>
      <c r="AA12" s="246">
        <f>$AA$7+Sheet2!S5</f>
        <v>44237</v>
      </c>
      <c r="AB12" s="246"/>
      <c r="AC12" s="156"/>
      <c r="AD12" s="144"/>
      <c r="AE12" s="104"/>
      <c r="AF12" s="104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</row>
    <row r="13" spans="1:245" ht="7.95" customHeight="1">
      <c r="A13" s="142"/>
      <c r="B13" s="103"/>
      <c r="C13" s="103"/>
      <c r="D13" s="151"/>
      <c r="E13" s="176"/>
      <c r="F13" s="177"/>
      <c r="G13" s="178"/>
      <c r="H13" s="179"/>
      <c r="I13" s="180"/>
      <c r="J13" s="180"/>
      <c r="K13" s="180"/>
      <c r="L13" s="177"/>
      <c r="M13" s="177"/>
      <c r="N13" s="177"/>
      <c r="O13" s="177"/>
      <c r="P13" s="181"/>
      <c r="Q13" s="181"/>
      <c r="R13" s="181"/>
      <c r="S13" s="183"/>
      <c r="T13" s="183"/>
      <c r="U13" s="184"/>
      <c r="V13" s="181"/>
      <c r="W13" s="177"/>
      <c r="X13" s="177"/>
      <c r="Y13" s="177"/>
      <c r="Z13" s="177"/>
      <c r="AA13" s="185"/>
      <c r="AB13" s="185"/>
      <c r="AC13" s="157"/>
      <c r="AD13" s="144"/>
      <c r="AE13" s="104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</row>
    <row r="14" spans="1:245" ht="34.5" customHeight="1">
      <c r="A14" s="142"/>
      <c r="B14" s="103"/>
      <c r="C14" s="153"/>
      <c r="D14" s="103"/>
      <c r="E14" s="247">
        <v>160</v>
      </c>
      <c r="F14" s="247"/>
      <c r="G14" s="180">
        <f>ROUNDDOWN((E14/(VLOOKUP($T$7,Sheet2!$A$3:$N$6,8,FALSE)))*100,1)</f>
        <v>64</v>
      </c>
      <c r="H14" s="248" t="str">
        <f>CONCATENATE(G14,Sheet2!$D$8)</f>
        <v>64c</v>
      </c>
      <c r="I14" s="249"/>
      <c r="J14" s="249"/>
      <c r="K14" s="249"/>
      <c r="L14" s="250">
        <v>8</v>
      </c>
      <c r="M14" s="249"/>
      <c r="N14" s="249"/>
      <c r="O14" s="249"/>
      <c r="P14" s="248" t="str">
        <f>Sheet2!H98</f>
        <v>10.2c</v>
      </c>
      <c r="Q14" s="249"/>
      <c r="R14" s="186">
        <v>1</v>
      </c>
      <c r="S14" s="174" t="str">
        <f>VLOOKUP(R14,Sheet2!$E$87:$J$89,6,FALSE)</f>
        <v>3.22 hours</v>
      </c>
      <c r="T14" s="222">
        <f>(((VLOOKUP($AA$4,Sheet2!$C$97:$D$105,2,FALSE)*$J$7)/3600*$AA$3)+(VLOOKUP($AA$2,Sheet2!$C$87:$D$95,2,FALSE)*$AA$3))*$R14</f>
        <v>48.333333333333336</v>
      </c>
      <c r="U14" s="175">
        <f>T14*100</f>
        <v>4833.3333333333339</v>
      </c>
      <c r="V14" s="174" t="str">
        <f>Sheet2!L98</f>
        <v>14.7c</v>
      </c>
      <c r="W14" s="250">
        <v>7</v>
      </c>
      <c r="X14" s="249"/>
      <c r="Y14" s="251">
        <f>$AA$7+W14</f>
        <v>44132</v>
      </c>
      <c r="Z14" s="251"/>
      <c r="AA14" s="246">
        <f>$AA$7+Sheet2!S7</f>
        <v>44181</v>
      </c>
      <c r="AB14" s="246"/>
      <c r="AC14" s="156"/>
      <c r="AD14" s="144"/>
      <c r="AE14" s="104"/>
      <c r="AF14" s="104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</row>
    <row r="15" spans="1:245" ht="7.95" customHeight="1">
      <c r="A15" s="142"/>
      <c r="B15" s="103"/>
      <c r="C15" s="103"/>
      <c r="D15" s="151"/>
      <c r="E15" s="176"/>
      <c r="F15" s="177"/>
      <c r="G15" s="178"/>
      <c r="H15" s="179"/>
      <c r="I15" s="180"/>
      <c r="J15" s="180"/>
      <c r="K15" s="180"/>
      <c r="L15" s="177"/>
      <c r="M15" s="177"/>
      <c r="N15" s="177"/>
      <c r="O15" s="177"/>
      <c r="P15" s="181"/>
      <c r="Q15" s="181"/>
      <c r="R15" s="181"/>
      <c r="S15" s="183"/>
      <c r="T15" s="183"/>
      <c r="U15" s="184"/>
      <c r="V15" s="181"/>
      <c r="W15" s="177"/>
      <c r="X15" s="177"/>
      <c r="Y15" s="177"/>
      <c r="Z15" s="177"/>
      <c r="AA15" s="185"/>
      <c r="AB15" s="185"/>
      <c r="AC15" s="157"/>
      <c r="AD15" s="144"/>
      <c r="AE15" s="104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</row>
    <row r="16" spans="1:245" ht="34.5" customHeight="1">
      <c r="A16" s="142"/>
      <c r="B16" s="103"/>
      <c r="C16" s="212" t="s">
        <v>85</v>
      </c>
      <c r="D16" s="103"/>
      <c r="E16" s="247">
        <v>82</v>
      </c>
      <c r="F16" s="247"/>
      <c r="G16" s="180">
        <f>ROUNDDOWN((E16/(VLOOKUP($T$7,Sheet2!$A$3:$N$6,10,FALSE)))*100,1)</f>
        <v>32.799999999999997</v>
      </c>
      <c r="H16" s="248" t="str">
        <f>CONCATENATE(G16,Sheet2!$D$8)</f>
        <v>32.8c</v>
      </c>
      <c r="I16" s="249"/>
      <c r="J16" s="249"/>
      <c r="K16" s="249"/>
      <c r="L16" s="250">
        <v>6</v>
      </c>
      <c r="M16" s="249"/>
      <c r="N16" s="249"/>
      <c r="O16" s="249"/>
      <c r="P16" s="248" t="str">
        <f>Sheet2!H100</f>
        <v>8.2c</v>
      </c>
      <c r="Q16" s="249"/>
      <c r="R16" s="186">
        <v>3</v>
      </c>
      <c r="S16" s="174" t="str">
        <f>VLOOKUP(R16,Sheet2!$E$87:$J$89,6,FALSE)</f>
        <v>9.66 hours</v>
      </c>
      <c r="T16" s="222">
        <f>(((VLOOKUP($AA$4,Sheet2!$C$97:$D$105,2,FALSE)*$J$7)/3600*$AA$3)+(VLOOKUP($AA$2,Sheet2!$C$87:$D$95,2,FALSE)*$AA$3))*$R16</f>
        <v>145</v>
      </c>
      <c r="U16" s="175">
        <f>T16*100</f>
        <v>14500</v>
      </c>
      <c r="V16" s="174" t="str">
        <f>Sheet2!L100</f>
        <v>21.7c</v>
      </c>
      <c r="W16" s="250">
        <v>8</v>
      </c>
      <c r="X16" s="249"/>
      <c r="Y16" s="251">
        <f>$AA$7+W16</f>
        <v>44133</v>
      </c>
      <c r="Z16" s="251"/>
      <c r="AA16" s="246">
        <f>$AA$7+Sheet2!S16</f>
        <v>44167</v>
      </c>
      <c r="AB16" s="246"/>
      <c r="AC16" s="156"/>
      <c r="AD16" s="144"/>
      <c r="AE16" s="104"/>
      <c r="AF16" s="104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</row>
    <row r="17" spans="1:245" ht="7.95" customHeight="1">
      <c r="A17" s="142"/>
      <c r="B17" s="103"/>
      <c r="C17" s="103"/>
      <c r="D17" s="151"/>
      <c r="E17" s="176"/>
      <c r="F17" s="177"/>
      <c r="G17" s="178"/>
      <c r="H17" s="179"/>
      <c r="I17" s="180"/>
      <c r="J17" s="180"/>
      <c r="K17" s="180"/>
      <c r="L17" s="177"/>
      <c r="M17" s="177"/>
      <c r="N17" s="177"/>
      <c r="O17" s="177"/>
      <c r="P17" s="181"/>
      <c r="Q17" s="181"/>
      <c r="R17" s="181"/>
      <c r="S17" s="183"/>
      <c r="T17" s="183"/>
      <c r="U17" s="184"/>
      <c r="V17" s="181"/>
      <c r="W17" s="177"/>
      <c r="X17" s="177"/>
      <c r="Y17" s="177"/>
      <c r="Z17" s="177"/>
      <c r="AA17" s="185"/>
      <c r="AB17" s="185"/>
      <c r="AC17" s="157"/>
      <c r="AD17" s="144"/>
      <c r="AE17" s="104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</row>
    <row r="18" spans="1:245" ht="34.5" customHeight="1">
      <c r="A18" s="142"/>
      <c r="B18" s="103"/>
      <c r="C18" s="197" t="s">
        <v>19</v>
      </c>
      <c r="D18" s="103"/>
      <c r="E18" s="247">
        <v>80</v>
      </c>
      <c r="F18" s="247"/>
      <c r="G18" s="180">
        <f>ROUNDDOWN((E18/(VLOOKUP($T$7,Sheet2!$A$3:$N$6,14,FALSE)))*100,1)</f>
        <v>40</v>
      </c>
      <c r="H18" s="248" t="str">
        <f>CONCATENATE(G18,Sheet2!$D$8)</f>
        <v>40c</v>
      </c>
      <c r="I18" s="249"/>
      <c r="J18" s="249"/>
      <c r="K18" s="249"/>
      <c r="L18" s="250">
        <v>8</v>
      </c>
      <c r="M18" s="249"/>
      <c r="N18" s="249"/>
      <c r="O18" s="249"/>
      <c r="P18" s="248" t="e">
        <f>Sheet2!H102</f>
        <v>#REF!</v>
      </c>
      <c r="Q18" s="249"/>
      <c r="R18" s="186">
        <v>2</v>
      </c>
      <c r="S18" s="174" t="str">
        <f>VLOOKUP(R18,Sheet2!$E$87:$J$89,6,FALSE)</f>
        <v>6.44 hours</v>
      </c>
      <c r="T18" s="222">
        <f>(((VLOOKUP($AA$4,Sheet2!$C$97:$D$105,2,FALSE)*$J$7)/3600*$AA$3)+(VLOOKUP($AA$2,Sheet2!$C$87:$D$95,2,FALSE)*$AA$3))*$R18</f>
        <v>96.666666666666671</v>
      </c>
      <c r="U18" s="175">
        <f>T18*100</f>
        <v>9666.6666666666679</v>
      </c>
      <c r="V18" s="174" t="e">
        <f>Sheet2!L102</f>
        <v>#REF!</v>
      </c>
      <c r="W18" s="250">
        <v>49</v>
      </c>
      <c r="X18" s="249"/>
      <c r="Y18" s="251">
        <f>$AA$7+W18</f>
        <v>44174</v>
      </c>
      <c r="Z18" s="251"/>
      <c r="AA18" s="246" t="e">
        <f>$AA$7+Sheet2!S20</f>
        <v>#REF!</v>
      </c>
      <c r="AB18" s="246"/>
      <c r="AC18" s="156"/>
      <c r="AD18" s="144"/>
      <c r="AE18" s="104"/>
      <c r="AF18" s="104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</row>
    <row r="19" spans="1:245" ht="7.95" customHeight="1">
      <c r="A19" s="142"/>
      <c r="B19" s="103"/>
      <c r="C19" s="106"/>
      <c r="D19" s="151"/>
      <c r="E19" s="176"/>
      <c r="F19" s="176"/>
      <c r="G19" s="178"/>
      <c r="H19" s="179"/>
      <c r="I19" s="180"/>
      <c r="J19" s="180"/>
      <c r="K19" s="180"/>
      <c r="L19" s="177"/>
      <c r="M19" s="177"/>
      <c r="N19" s="177"/>
      <c r="O19" s="177"/>
      <c r="P19" s="181"/>
      <c r="Q19" s="181"/>
      <c r="R19" s="181"/>
      <c r="S19" s="183"/>
      <c r="T19" s="183"/>
      <c r="U19" s="184"/>
      <c r="V19" s="181"/>
      <c r="W19" s="177"/>
      <c r="X19" s="177"/>
      <c r="Y19" s="187"/>
      <c r="Z19" s="187"/>
      <c r="AA19" s="185"/>
      <c r="AB19" s="185"/>
      <c r="AC19" s="157"/>
      <c r="AD19" s="144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</row>
    <row r="20" spans="1:245" ht="34.5" customHeight="1">
      <c r="A20" s="142"/>
      <c r="B20" s="103"/>
      <c r="C20" s="197" t="s">
        <v>20</v>
      </c>
      <c r="D20" s="103"/>
      <c r="E20" s="247">
        <v>82</v>
      </c>
      <c r="F20" s="247"/>
      <c r="G20" s="180">
        <f>ROUNDDOWN((E20/(VLOOKUP($T$7,Sheet2!$A$3:$N$6,12,FALSE)))*100,1)</f>
        <v>32.799999999999997</v>
      </c>
      <c r="H20" s="248" t="str">
        <f>CONCATENATE(G20,Sheet2!$D$8)</f>
        <v>32.8c</v>
      </c>
      <c r="I20" s="249"/>
      <c r="J20" s="249"/>
      <c r="K20" s="249"/>
      <c r="L20" s="250">
        <v>6</v>
      </c>
      <c r="M20" s="249"/>
      <c r="N20" s="249"/>
      <c r="O20" s="249"/>
      <c r="P20" s="248" t="str">
        <f>Sheet2!H104</f>
        <v>8c</v>
      </c>
      <c r="Q20" s="249"/>
      <c r="R20" s="186">
        <v>3</v>
      </c>
      <c r="S20" s="174" t="str">
        <f>VLOOKUP(R20,Sheet2!$E$87:$J$89,6,FALSE)</f>
        <v>9.66 hours</v>
      </c>
      <c r="T20" s="222">
        <f>(((VLOOKUP($AA$4,Sheet2!$C$97:$D$105,2,FALSE)*$J$7)/3600*$AA$3)+(VLOOKUP($AA$2,Sheet2!$C$87:$D$95,2,FALSE)*$AA$3))*$R20</f>
        <v>145</v>
      </c>
      <c r="U20" s="175">
        <f>T20*100</f>
        <v>14500</v>
      </c>
      <c r="V20" s="174" t="str">
        <f>Sheet2!L104</f>
        <v>21.5c</v>
      </c>
      <c r="W20" s="250">
        <v>8</v>
      </c>
      <c r="X20" s="249"/>
      <c r="Y20" s="251">
        <f>$AA$7+W20</f>
        <v>44133</v>
      </c>
      <c r="Z20" s="251"/>
      <c r="AA20" s="246">
        <f>$AA$7+Sheet2!S18</f>
        <v>44167</v>
      </c>
      <c r="AB20" s="246"/>
      <c r="AC20" s="156"/>
      <c r="AD20" s="144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</row>
    <row r="21" spans="1:245" ht="15.75" customHeight="1">
      <c r="A21" s="142"/>
      <c r="B21" s="103"/>
      <c r="C21" s="190" t="s">
        <v>21</v>
      </c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44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</row>
    <row r="22" spans="1:245" ht="15.75" customHeight="1">
      <c r="A22" s="142"/>
      <c r="B22" s="103"/>
      <c r="C22" s="190" t="s">
        <v>22</v>
      </c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44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</row>
    <row r="23" spans="1:245" ht="15.75" customHeight="1">
      <c r="A23" s="142"/>
      <c r="B23" s="103"/>
      <c r="C23" s="190" t="s">
        <v>23</v>
      </c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44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</row>
    <row r="24" spans="1:245" ht="15.75" customHeight="1">
      <c r="A24" s="142"/>
      <c r="B24" s="103"/>
      <c r="C24" s="198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44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</row>
    <row r="25" spans="1:245" ht="8.5500000000000007" customHeight="1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58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</row>
    <row r="26" spans="1:245" ht="15.75" customHeight="1">
      <c r="A26" s="158"/>
      <c r="R26" s="242" t="str">
        <f>'Cost of blowfly strike'!F23</f>
        <v>* Please refer to individual product SPCs for information on what they treat.
** Cost of blowfly strike data taken from Published data: Richard Wall and Fiona Lovatt, Blowfly strike: biology, epidemiology and control, In Practice April 2015 | Volume 37 | 181-188
For further information call Elanco Animal Health on +44 (0)1256 353131 or write to Elanco Animal Health, Form 2, Bartley Way, Bartley Wood Business Park, Hook, RG27 9XA. CLiK® EXTRA contains 65mg/ml dicyclanil. CLiK® contains 50mg/ml dicyclanil. CLiKZiN® contains 12.5mg/ml dicyclanil. Vector® contains 12.5mg/ml cypermethrin. Ectofly® contains 12.5mg/ml cypermethrin. Legal category: POM in IE.
Information regarding the side effects, precautions, warnings and contra-indications can be found on the product packaging; further information can also be found in the Summary of Product Characteristics. Advice should be sought from the medicine prescriber prior to use. Elanco™, CLiK® EXTRA, CLiK®, CLiKZiN® and Vector ® and the Diagonal Bar™ are trademarks owned by Elanco or its affiliates. Other company and product names are trademarks of their respective owners. PM-IE-24-0059
Use Medicines Responsibly (www.apha.ie) ©2024 Elanco (Date updated March 2024)</v>
      </c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3"/>
      <c r="AE26" s="158"/>
    </row>
    <row r="27" spans="1:245" ht="15.75" customHeight="1">
      <c r="A27" s="158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3"/>
      <c r="AE27" s="158"/>
    </row>
    <row r="28" spans="1:245" ht="15.75" customHeight="1">
      <c r="A28" s="158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3"/>
      <c r="AE28" s="158"/>
    </row>
    <row r="29" spans="1:245" ht="15.75" customHeight="1">
      <c r="A29" s="158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3"/>
      <c r="AE29" s="158"/>
    </row>
    <row r="30" spans="1:245" ht="15.75" customHeight="1">
      <c r="A30" s="158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3"/>
      <c r="AE30" s="158"/>
    </row>
    <row r="31" spans="1:245" ht="15.75" customHeight="1">
      <c r="A31" s="158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3"/>
      <c r="AE31" s="158"/>
    </row>
    <row r="32" spans="1:245" ht="15.75" customHeight="1">
      <c r="A32" s="158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3"/>
      <c r="AE32" s="158"/>
    </row>
    <row r="33" spans="1:48" ht="15.75" customHeight="1">
      <c r="A33" s="158"/>
      <c r="G33" s="225"/>
      <c r="H33" s="241" t="s">
        <v>90</v>
      </c>
      <c r="I33" s="241"/>
      <c r="J33" s="241"/>
      <c r="K33" s="241"/>
      <c r="L33" s="241"/>
      <c r="M33" s="241"/>
      <c r="N33" s="241"/>
      <c r="O33" s="241"/>
      <c r="P33" s="241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3"/>
      <c r="AE33" s="158"/>
    </row>
    <row r="34" spans="1:48" ht="15.75" customHeight="1">
      <c r="A34" s="158"/>
      <c r="F34" s="225"/>
      <c r="G34" s="225"/>
      <c r="H34" s="241"/>
      <c r="I34" s="241"/>
      <c r="J34" s="241"/>
      <c r="K34" s="241"/>
      <c r="L34" s="241"/>
      <c r="M34" s="241"/>
      <c r="N34" s="241"/>
      <c r="O34" s="241"/>
      <c r="P34" s="241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3"/>
      <c r="AE34" s="158"/>
    </row>
    <row r="35" spans="1:48" ht="15.75" customHeight="1">
      <c r="A35" s="158"/>
      <c r="C35" s="223"/>
      <c r="D35" s="223"/>
      <c r="E35" s="223"/>
      <c r="F35" s="225"/>
      <c r="G35" s="225"/>
      <c r="H35" s="241"/>
      <c r="I35" s="241"/>
      <c r="J35" s="241"/>
      <c r="K35" s="241"/>
      <c r="L35" s="241"/>
      <c r="M35" s="241"/>
      <c r="N35" s="241"/>
      <c r="O35" s="241"/>
      <c r="P35" s="241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3"/>
      <c r="AE35" s="158"/>
    </row>
    <row r="36" spans="1:48" ht="15.75" customHeight="1" thickBot="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5"/>
      <c r="AE36" s="158"/>
    </row>
    <row r="37" spans="1:48" ht="16.8" customHeight="1" thickTop="1"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48" ht="16.8" customHeight="1"/>
    <row r="41" spans="1:48" ht="15.75" customHeight="1"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</row>
    <row r="42" spans="1:48" ht="15.75" customHeight="1"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</row>
    <row r="43" spans="1:48" ht="15.75" customHeight="1"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</row>
    <row r="44" spans="1:48" ht="15.75" customHeight="1"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</row>
    <row r="45" spans="1:48" ht="15.75" customHeight="1"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</row>
    <row r="46" spans="1:48" ht="15.75" customHeight="1"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</row>
    <row r="47" spans="1:48" ht="15.75" customHeight="1"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</row>
    <row r="48" spans="1:48" ht="15.75" customHeight="1"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</row>
    <row r="49" spans="31:48" ht="15.75" customHeight="1"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</row>
    <row r="50" spans="31:48" ht="15.75" customHeight="1"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</row>
    <row r="51" spans="31:48" ht="15.75" customHeight="1"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</row>
  </sheetData>
  <mergeCells count="63">
    <mergeCell ref="C2:S4"/>
    <mergeCell ref="T2:Z2"/>
    <mergeCell ref="AA2:AB2"/>
    <mergeCell ref="T3:Z3"/>
    <mergeCell ref="AA3:AB3"/>
    <mergeCell ref="T4:Z4"/>
    <mergeCell ref="AA4:AB4"/>
    <mergeCell ref="B7:I7"/>
    <mergeCell ref="J7:L7"/>
    <mergeCell ref="Q7:S7"/>
    <mergeCell ref="V7:Z7"/>
    <mergeCell ref="AA7:AB7"/>
    <mergeCell ref="Y9:Z9"/>
    <mergeCell ref="AA9:AB9"/>
    <mergeCell ref="E10:F10"/>
    <mergeCell ref="H10:K10"/>
    <mergeCell ref="L10:O10"/>
    <mergeCell ref="P10:Q10"/>
    <mergeCell ref="W10:X10"/>
    <mergeCell ref="Y10:Z10"/>
    <mergeCell ref="AA10:AB10"/>
    <mergeCell ref="E9:F9"/>
    <mergeCell ref="H9:K9"/>
    <mergeCell ref="L9:O9"/>
    <mergeCell ref="P9:Q9"/>
    <mergeCell ref="W9:X9"/>
    <mergeCell ref="AA12:AB12"/>
    <mergeCell ref="E14:F14"/>
    <mergeCell ref="H14:K14"/>
    <mergeCell ref="L14:O14"/>
    <mergeCell ref="P14:Q14"/>
    <mergeCell ref="W14:X14"/>
    <mergeCell ref="Y14:Z14"/>
    <mergeCell ref="AA14:AB14"/>
    <mergeCell ref="E12:F12"/>
    <mergeCell ref="H12:K12"/>
    <mergeCell ref="L12:O12"/>
    <mergeCell ref="P12:Q12"/>
    <mergeCell ref="W12:X12"/>
    <mergeCell ref="Y12:Z12"/>
    <mergeCell ref="AA16:AB16"/>
    <mergeCell ref="E18:F18"/>
    <mergeCell ref="H18:K18"/>
    <mergeCell ref="L18:O18"/>
    <mergeCell ref="P18:Q18"/>
    <mergeCell ref="W18:X18"/>
    <mergeCell ref="Y18:Z18"/>
    <mergeCell ref="AA18:AB18"/>
    <mergeCell ref="E16:F16"/>
    <mergeCell ref="H16:K16"/>
    <mergeCell ref="L16:O16"/>
    <mergeCell ref="P16:Q16"/>
    <mergeCell ref="W16:X16"/>
    <mergeCell ref="Y16:Z16"/>
    <mergeCell ref="H33:P35"/>
    <mergeCell ref="R26:AD36"/>
    <mergeCell ref="AA20:AB20"/>
    <mergeCell ref="E20:F20"/>
    <mergeCell ref="H20:K20"/>
    <mergeCell ref="L20:O20"/>
    <mergeCell ref="P20:Q20"/>
    <mergeCell ref="W20:X20"/>
    <mergeCell ref="Y20:Z20"/>
  </mergeCells>
  <pageMargins left="0.43307086614173229" right="3.937007874015748E-2" top="0.15748031496062992" bottom="0.15748031496062992" header="0.31496062992125984" footer="0.31496062992125984"/>
  <pageSetup scale="91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39106DF-E6B2-4B38-8968-1913331EB01F}">
          <x14:formula1>
            <xm:f>Sheet2!$A$3:$A$6</xm:f>
          </x14:formula1>
          <xm:sqref>T7</xm:sqref>
        </x14:dataValidation>
        <x14:dataValidation type="list" allowBlank="1" showInputMessage="1" showErrorMessage="1" xr:uid="{A9F422B5-720C-4777-A771-9C1DDAD98E6B}">
          <x14:formula1>
            <xm:f>Sheet2!$C$97:$C$105</xm:f>
          </x14:formula1>
          <xm:sqref>AA4:AB4</xm:sqref>
        </x14:dataValidation>
        <x14:dataValidation type="list" allowBlank="1" showInputMessage="1" showErrorMessage="1" xr:uid="{254B6F75-86FE-413E-B45A-263844CDB489}">
          <x14:formula1>
            <xm:f>Sheet2!$C$87:$C$95</xm:f>
          </x14:formula1>
          <xm:sqref>AA2:AB2</xm:sqref>
        </x14:dataValidation>
        <x14:dataValidation type="list" allowBlank="1" showInputMessage="1" showErrorMessage="1" xr:uid="{2D1B0B92-979B-49B8-9CC9-22B3F967D6FA}">
          <x14:formula1>
            <xm:f>Sheet2!$A$16:$A$46</xm:f>
          </x14:formula1>
          <xm:sqref>AA7:AB7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48"/>
  <sheetViews>
    <sheetView showGridLines="0" tabSelected="1" zoomScaleNormal="100" workbookViewId="0">
      <selection activeCell="D12" sqref="D12"/>
    </sheetView>
  </sheetViews>
  <sheetFormatPr defaultColWidth="8.77734375" defaultRowHeight="15.75" customHeight="1"/>
  <cols>
    <col min="1" max="1" width="2.109375" style="140" customWidth="1"/>
    <col min="2" max="2" width="1.6640625" style="140" customWidth="1"/>
    <col min="3" max="3" width="18.33203125" style="140" customWidth="1"/>
    <col min="4" max="4" width="1.33203125" style="140" customWidth="1"/>
    <col min="5" max="6" width="4.44140625" style="140" customWidth="1"/>
    <col min="7" max="7" width="6.5546875" style="140" bestFit="1" customWidth="1"/>
    <col min="8" max="12" width="2.77734375" style="140" customWidth="1"/>
    <col min="13" max="14" width="3.109375" style="140" customWidth="1"/>
    <col min="15" max="15" width="0.77734375" style="140" customWidth="1"/>
    <col min="16" max="17" width="4.44140625" style="140" customWidth="1"/>
    <col min="18" max="18" width="7.44140625" style="140" customWidth="1"/>
    <col min="19" max="19" width="11.44140625" style="140" customWidth="1"/>
    <col min="20" max="20" width="10.77734375" style="140" customWidth="1"/>
    <col min="21" max="21" width="8.77734375" style="140" hidden="1" customWidth="1"/>
    <col min="22" max="22" width="12.77734375" style="140" customWidth="1"/>
    <col min="23" max="23" width="4" style="140" customWidth="1"/>
    <col min="24" max="24" width="4.33203125" style="140" customWidth="1"/>
    <col min="25" max="26" width="4.6640625" style="140" customWidth="1"/>
    <col min="27" max="28" width="6" style="140" customWidth="1"/>
    <col min="29" max="29" width="1.44140625" style="140" customWidth="1"/>
    <col min="30" max="30" width="2.44140625" style="140" customWidth="1"/>
    <col min="31" max="31" width="8" style="140" customWidth="1"/>
    <col min="32" max="256" width="8.77734375" style="140" customWidth="1"/>
    <col min="257" max="16384" width="8.77734375" style="141"/>
  </cols>
  <sheetData>
    <row r="1" spans="1:245" ht="7.95" customHeight="1" thickTop="1">
      <c r="A1" s="137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9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103"/>
      <c r="EL1" s="103"/>
      <c r="EM1" s="103"/>
      <c r="EN1" s="103"/>
      <c r="EO1" s="103"/>
      <c r="EP1" s="103"/>
      <c r="EQ1" s="103"/>
      <c r="ER1" s="103"/>
      <c r="ES1" s="103"/>
      <c r="ET1" s="103"/>
      <c r="EU1" s="103"/>
      <c r="EV1" s="103"/>
      <c r="EW1" s="103"/>
      <c r="EX1" s="103"/>
      <c r="EY1" s="103"/>
      <c r="EZ1" s="103"/>
      <c r="FA1" s="103"/>
      <c r="FB1" s="103"/>
      <c r="FC1" s="10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  <c r="GI1" s="103"/>
      <c r="GJ1" s="103"/>
      <c r="GK1" s="103"/>
      <c r="GL1" s="103"/>
      <c r="GM1" s="103"/>
      <c r="GN1" s="103"/>
      <c r="GO1" s="103"/>
      <c r="GP1" s="103"/>
      <c r="GQ1" s="103"/>
      <c r="GR1" s="103"/>
      <c r="GS1" s="103"/>
      <c r="GT1" s="103"/>
      <c r="GU1" s="103"/>
      <c r="GV1" s="103"/>
      <c r="GW1" s="103"/>
      <c r="GX1" s="103"/>
      <c r="GY1" s="103"/>
      <c r="GZ1" s="103"/>
      <c r="HA1" s="103"/>
      <c r="HB1" s="103"/>
      <c r="HC1" s="103"/>
      <c r="HD1" s="103"/>
      <c r="HE1" s="103"/>
      <c r="HF1" s="103"/>
      <c r="HG1" s="103"/>
      <c r="HH1" s="103"/>
      <c r="HI1" s="103"/>
      <c r="HJ1" s="103"/>
      <c r="HK1" s="103"/>
      <c r="HL1" s="103"/>
      <c r="HM1" s="103"/>
      <c r="HN1" s="103"/>
      <c r="HO1" s="103"/>
      <c r="HP1" s="103"/>
      <c r="HQ1" s="103"/>
      <c r="HR1" s="103"/>
      <c r="HS1" s="103"/>
      <c r="HT1" s="103"/>
      <c r="HU1" s="103"/>
      <c r="HV1" s="103"/>
      <c r="HW1" s="103"/>
      <c r="HX1" s="103"/>
      <c r="HY1" s="103"/>
      <c r="HZ1" s="103"/>
      <c r="IA1" s="103"/>
      <c r="IB1" s="103"/>
      <c r="IC1" s="103"/>
      <c r="ID1" s="103"/>
      <c r="IE1" s="103"/>
      <c r="IF1" s="103"/>
      <c r="IG1" s="103"/>
      <c r="IH1" s="103"/>
      <c r="II1" s="103"/>
      <c r="IJ1" s="103"/>
      <c r="IK1" s="103"/>
    </row>
    <row r="2" spans="1:245" ht="19.2" customHeight="1">
      <c r="A2" s="142"/>
      <c r="B2" s="101"/>
      <c r="C2" s="264" t="s">
        <v>1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5" t="s">
        <v>0</v>
      </c>
      <c r="U2" s="265"/>
      <c r="V2" s="265"/>
      <c r="W2" s="265"/>
      <c r="X2" s="265"/>
      <c r="Y2" s="265"/>
      <c r="Z2" s="265"/>
      <c r="AA2" s="266" t="s">
        <v>87</v>
      </c>
      <c r="AB2" s="267"/>
      <c r="AC2" s="143"/>
      <c r="AD2" s="144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</row>
    <row r="3" spans="1:245" ht="19.2" customHeight="1">
      <c r="A3" s="142"/>
      <c r="B3" s="145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5" t="s">
        <v>2</v>
      </c>
      <c r="U3" s="265"/>
      <c r="V3" s="265"/>
      <c r="W3" s="265"/>
      <c r="X3" s="265"/>
      <c r="Y3" s="265"/>
      <c r="Z3" s="265"/>
      <c r="AA3" s="271">
        <v>14</v>
      </c>
      <c r="AB3" s="271"/>
      <c r="AC3" s="143"/>
      <c r="AD3" s="144"/>
      <c r="AE3" s="103"/>
      <c r="AF3" s="110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</row>
    <row r="4" spans="1:245" ht="19.2" customHeight="1">
      <c r="A4" s="142"/>
      <c r="B4" s="145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5" t="s">
        <v>3</v>
      </c>
      <c r="U4" s="265"/>
      <c r="V4" s="265"/>
      <c r="W4" s="265"/>
      <c r="X4" s="265"/>
      <c r="Y4" s="265"/>
      <c r="Z4" s="265"/>
      <c r="AA4" s="266" t="s">
        <v>88</v>
      </c>
      <c r="AB4" s="267"/>
      <c r="AC4" s="143"/>
      <c r="AD4" s="144"/>
      <c r="AE4" s="103"/>
      <c r="AF4" s="110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</row>
    <row r="5" spans="1:245" ht="7.95" customHeight="1">
      <c r="A5" s="142"/>
      <c r="B5" s="145"/>
      <c r="C5" s="145"/>
      <c r="D5" s="146"/>
      <c r="E5" s="146"/>
      <c r="F5" s="146"/>
      <c r="G5" s="147"/>
      <c r="H5" s="146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6"/>
      <c r="T5" s="146"/>
      <c r="U5" s="146"/>
      <c r="V5" s="146"/>
      <c r="W5" s="146"/>
      <c r="X5" s="143"/>
      <c r="Y5" s="143"/>
      <c r="Z5" s="143"/>
      <c r="AA5" s="143"/>
      <c r="AB5" s="143"/>
      <c r="AC5" s="143"/>
      <c r="AD5" s="144"/>
      <c r="AE5" s="103"/>
      <c r="AF5" s="110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</row>
    <row r="6" spans="1:245" ht="8.5500000000000007" customHeight="1">
      <c r="A6" s="14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44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</row>
    <row r="7" spans="1:245" ht="19.95" customHeight="1">
      <c r="A7" s="142"/>
      <c r="B7" s="260" t="s">
        <v>6</v>
      </c>
      <c r="C7" s="260"/>
      <c r="D7" s="260"/>
      <c r="E7" s="260"/>
      <c r="F7" s="260"/>
      <c r="G7" s="260"/>
      <c r="H7" s="260"/>
      <c r="I7" s="260"/>
      <c r="J7" s="261">
        <v>1000</v>
      </c>
      <c r="K7" s="261"/>
      <c r="L7" s="261"/>
      <c r="M7" s="188"/>
      <c r="N7" s="211"/>
      <c r="O7" s="189"/>
      <c r="P7" s="189"/>
      <c r="Q7" s="262" t="s">
        <v>4</v>
      </c>
      <c r="R7" s="262"/>
      <c r="S7" s="262"/>
      <c r="T7" s="221" t="s">
        <v>32</v>
      </c>
      <c r="U7" s="177"/>
      <c r="V7" s="262" t="s">
        <v>5</v>
      </c>
      <c r="W7" s="262"/>
      <c r="X7" s="262"/>
      <c r="Y7" s="262"/>
      <c r="Z7" s="262"/>
      <c r="AA7" s="263">
        <v>43978</v>
      </c>
      <c r="AB7" s="263"/>
      <c r="AC7" s="149"/>
      <c r="AD7" s="144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</row>
    <row r="8" spans="1:245" ht="1.2" customHeight="1">
      <c r="A8" s="142"/>
      <c r="B8" s="103"/>
      <c r="C8" s="190" t="s">
        <v>8</v>
      </c>
      <c r="D8" s="183"/>
      <c r="E8" s="183"/>
      <c r="F8" s="183"/>
      <c r="G8" s="183"/>
      <c r="H8" s="184"/>
      <c r="I8" s="184"/>
      <c r="J8" s="184"/>
      <c r="K8" s="184"/>
      <c r="L8" s="184"/>
      <c r="M8" s="184"/>
      <c r="N8" s="184"/>
      <c r="O8" s="184"/>
      <c r="P8" s="191">
        <f>AA7</f>
        <v>43978</v>
      </c>
      <c r="Q8" s="192"/>
      <c r="R8" s="192"/>
      <c r="S8" s="193"/>
      <c r="T8" s="193"/>
      <c r="U8" s="193"/>
      <c r="V8" s="193"/>
      <c r="W8" s="184"/>
      <c r="X8" s="184"/>
      <c r="Y8" s="184"/>
      <c r="Z8" s="184"/>
      <c r="AA8" s="184"/>
      <c r="AB8" s="184"/>
      <c r="AC8" s="103"/>
      <c r="AD8" s="144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</row>
    <row r="9" spans="1:245" ht="41.25" customHeight="1">
      <c r="A9" s="152"/>
      <c r="B9" s="103"/>
      <c r="C9" s="194"/>
      <c r="D9" s="184"/>
      <c r="E9" s="252" t="s">
        <v>9</v>
      </c>
      <c r="F9" s="253"/>
      <c r="G9" s="200"/>
      <c r="H9" s="252" t="s">
        <v>10</v>
      </c>
      <c r="I9" s="253"/>
      <c r="J9" s="253"/>
      <c r="K9" s="253"/>
      <c r="L9" s="252" t="s">
        <v>11</v>
      </c>
      <c r="M9" s="253"/>
      <c r="N9" s="253"/>
      <c r="O9" s="253"/>
      <c r="P9" s="258" t="s">
        <v>12</v>
      </c>
      <c r="Q9" s="259"/>
      <c r="R9" s="201" t="s">
        <v>13</v>
      </c>
      <c r="S9" s="199" t="s">
        <v>14</v>
      </c>
      <c r="T9" s="199" t="s">
        <v>15</v>
      </c>
      <c r="U9" s="202"/>
      <c r="V9" s="201" t="s">
        <v>100</v>
      </c>
      <c r="W9" s="252" t="s">
        <v>17</v>
      </c>
      <c r="X9" s="253"/>
      <c r="Y9" s="252" t="s">
        <v>18</v>
      </c>
      <c r="Z9" s="253"/>
      <c r="AA9" s="252" t="s">
        <v>86</v>
      </c>
      <c r="AB9" s="253"/>
      <c r="AC9" s="154"/>
      <c r="AD9" s="155"/>
      <c r="AE9" s="150"/>
      <c r="AF9" s="150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</row>
    <row r="10" spans="1:245" ht="34.5" customHeight="1">
      <c r="A10" s="142"/>
      <c r="B10" s="103"/>
      <c r="C10" s="153"/>
      <c r="D10" s="103"/>
      <c r="E10" s="270">
        <v>250</v>
      </c>
      <c r="F10" s="270"/>
      <c r="G10" s="171">
        <f>ROUNDDOWN((E10/(VLOOKUP($T$7,Sheet2!$A$3:$N$6,4,FALSE)))*100,1)</f>
        <v>120</v>
      </c>
      <c r="H10" s="255" t="str">
        <f>CONCATENATE(G10,Sheet2!$D$8)</f>
        <v>120c</v>
      </c>
      <c r="I10" s="256"/>
      <c r="J10" s="256"/>
      <c r="K10" s="256"/>
      <c r="L10" s="257">
        <v>19</v>
      </c>
      <c r="M10" s="256"/>
      <c r="N10" s="256"/>
      <c r="O10" s="256"/>
      <c r="P10" s="255" t="str">
        <f>Sheet2!H94</f>
        <v>6.3c</v>
      </c>
      <c r="Q10" s="256"/>
      <c r="R10" s="173">
        <v>1</v>
      </c>
      <c r="S10" s="174" t="str">
        <f>VLOOKUP(R10,Sheet2!$E$87:$J$89,6,FALSE)</f>
        <v>3.22 hours</v>
      </c>
      <c r="T10" s="270">
        <f>(((VLOOKUP($AA$4,Sheet2!$C$97:$D$105,2,FALSE)*$J$7)/3600*$AA$3)+(VLOOKUP($AA$2,Sheet2!$C$87:$D$95,2,FALSE)*$AA$3))*$R10</f>
        <v>45.111111111111114</v>
      </c>
      <c r="U10" s="270">
        <f>T10*100</f>
        <v>4511.1111111111113</v>
      </c>
      <c r="V10" s="172" t="str">
        <f>Sheet2!L94</f>
        <v>10.8c</v>
      </c>
      <c r="W10" s="257">
        <v>40</v>
      </c>
      <c r="X10" s="256"/>
      <c r="Y10" s="246">
        <f>$AA$7+W10</f>
        <v>44018</v>
      </c>
      <c r="Z10" s="246"/>
      <c r="AA10" s="246">
        <f>$AA$7+Sheet2!S3</f>
        <v>44111</v>
      </c>
      <c r="AB10" s="246"/>
      <c r="AC10" s="156"/>
      <c r="AD10" s="144"/>
      <c r="AE10" s="104"/>
      <c r="AF10" s="104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</row>
    <row r="11" spans="1:245" ht="7.95" customHeight="1">
      <c r="A11" s="142"/>
      <c r="B11" s="103"/>
      <c r="C11" s="103"/>
      <c r="D11" s="151"/>
      <c r="E11" s="226"/>
      <c r="F11" s="226"/>
      <c r="G11" s="178"/>
      <c r="H11" s="179"/>
      <c r="I11" s="180"/>
      <c r="J11" s="180"/>
      <c r="K11" s="180"/>
      <c r="L11" s="177"/>
      <c r="M11" s="177"/>
      <c r="N11" s="177"/>
      <c r="O11" s="177"/>
      <c r="P11" s="181"/>
      <c r="Q11" s="181"/>
      <c r="R11" s="182"/>
      <c r="S11" s="183"/>
      <c r="T11" s="226"/>
      <c r="U11" s="226"/>
      <c r="V11" s="181"/>
      <c r="W11" s="177"/>
      <c r="X11" s="177"/>
      <c r="Y11" s="177"/>
      <c r="Z11" s="177"/>
      <c r="AA11" s="185"/>
      <c r="AB11" s="185"/>
      <c r="AC11" s="157"/>
      <c r="AD11" s="144"/>
      <c r="AE11" s="104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</row>
    <row r="12" spans="1:245" ht="34.5" customHeight="1">
      <c r="A12" s="142"/>
      <c r="B12" s="103"/>
      <c r="C12" s="153"/>
      <c r="D12" s="103"/>
      <c r="E12" s="269">
        <v>242</v>
      </c>
      <c r="F12" s="269"/>
      <c r="G12" s="180">
        <f>ROUNDDOWN((E12/(VLOOKUP($T$7,Sheet2!$A$3:$N$6,6,FALSE)))*100,1)</f>
        <v>121</v>
      </c>
      <c r="H12" s="248" t="str">
        <f>CONCATENATE(G12,Sheet2!$D$8)</f>
        <v>121c</v>
      </c>
      <c r="I12" s="249"/>
      <c r="J12" s="249"/>
      <c r="K12" s="249"/>
      <c r="L12" s="250">
        <v>16</v>
      </c>
      <c r="M12" s="249"/>
      <c r="N12" s="249"/>
      <c r="O12" s="249"/>
      <c r="P12" s="248" t="str">
        <f>Sheet2!H96</f>
        <v>7.6c</v>
      </c>
      <c r="Q12" s="249"/>
      <c r="R12" s="186">
        <v>1</v>
      </c>
      <c r="S12" s="174" t="str">
        <f>VLOOKUP(R12,Sheet2!$E$87:$J$89,6,FALSE)</f>
        <v>3.22 hours</v>
      </c>
      <c r="T12" s="269">
        <f>(((VLOOKUP($AA$4,Sheet2!$C$97:$D$105,2,FALSE)*$J$7)/3600*$AA$3)+(VLOOKUP($AA$2,Sheet2!$C$87:$D$95,2,FALSE)*$AA$3))*$R12</f>
        <v>45.111111111111114</v>
      </c>
      <c r="U12" s="269">
        <f>T12*100</f>
        <v>4511.1111111111113</v>
      </c>
      <c r="V12" s="174" t="str">
        <f>Sheet2!L96</f>
        <v>12.1c</v>
      </c>
      <c r="W12" s="250">
        <v>40</v>
      </c>
      <c r="X12" s="249"/>
      <c r="Y12" s="251">
        <f>$AA$7+W12</f>
        <v>44018</v>
      </c>
      <c r="Z12" s="251"/>
      <c r="AA12" s="246">
        <f>$AA$7+Sheet2!S5</f>
        <v>44090</v>
      </c>
      <c r="AB12" s="246"/>
      <c r="AC12" s="156"/>
      <c r="AD12" s="144"/>
      <c r="AE12" s="104"/>
      <c r="AF12" s="104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</row>
    <row r="13" spans="1:245" ht="7.95" customHeight="1">
      <c r="A13" s="142"/>
      <c r="B13" s="103"/>
      <c r="C13" s="103"/>
      <c r="D13" s="151"/>
      <c r="E13" s="226"/>
      <c r="F13" s="226"/>
      <c r="G13" s="178"/>
      <c r="H13" s="179"/>
      <c r="I13" s="180"/>
      <c r="J13" s="180"/>
      <c r="K13" s="180"/>
      <c r="L13" s="177"/>
      <c r="M13" s="177"/>
      <c r="N13" s="177"/>
      <c r="O13" s="177"/>
      <c r="P13" s="181"/>
      <c r="Q13" s="181"/>
      <c r="R13" s="181"/>
      <c r="S13" s="183"/>
      <c r="T13" s="226"/>
      <c r="U13" s="226"/>
      <c r="V13" s="181"/>
      <c r="W13" s="177"/>
      <c r="X13" s="177"/>
      <c r="Y13" s="177"/>
      <c r="Z13" s="177"/>
      <c r="AA13" s="185"/>
      <c r="AB13" s="185"/>
      <c r="AC13" s="157"/>
      <c r="AD13" s="144"/>
      <c r="AE13" s="104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</row>
    <row r="14" spans="1:245" ht="34.5" customHeight="1">
      <c r="A14" s="142"/>
      <c r="B14" s="103"/>
      <c r="C14" s="153"/>
      <c r="D14" s="103"/>
      <c r="E14" s="269">
        <v>170</v>
      </c>
      <c r="F14" s="269"/>
      <c r="G14" s="180">
        <f>ROUNDDOWN((E14/(VLOOKUP($T$7,Sheet2!$A$3:$N$6,8,FALSE)))*100,1)</f>
        <v>81.599999999999994</v>
      </c>
      <c r="H14" s="248" t="str">
        <f>CONCATENATE(G14,Sheet2!$D$8)</f>
        <v>81.6c</v>
      </c>
      <c r="I14" s="249"/>
      <c r="J14" s="249"/>
      <c r="K14" s="249"/>
      <c r="L14" s="250">
        <v>8</v>
      </c>
      <c r="M14" s="249"/>
      <c r="N14" s="249"/>
      <c r="O14" s="249"/>
      <c r="P14" s="248" t="str">
        <f>Sheet2!H98</f>
        <v>10.2c</v>
      </c>
      <c r="Q14" s="249"/>
      <c r="R14" s="186">
        <v>1</v>
      </c>
      <c r="S14" s="174" t="str">
        <f>VLOOKUP(R14,Sheet2!$E$87:$J$89,6,FALSE)</f>
        <v>3.22 hours</v>
      </c>
      <c r="T14" s="269">
        <f>(((VLOOKUP($AA$4,Sheet2!$C$97:$D$105,2,FALSE)*$J$7)/3600*$AA$3)+(VLOOKUP($AA$2,Sheet2!$C$87:$D$95,2,FALSE)*$AA$3))*$R14</f>
        <v>45.111111111111114</v>
      </c>
      <c r="U14" s="269">
        <f>T14*100</f>
        <v>4511.1111111111113</v>
      </c>
      <c r="V14" s="174" t="str">
        <f>Sheet2!L98</f>
        <v>14.7c</v>
      </c>
      <c r="W14" s="250">
        <v>7</v>
      </c>
      <c r="X14" s="249"/>
      <c r="Y14" s="251">
        <f>$AA$7+W14</f>
        <v>43985</v>
      </c>
      <c r="Z14" s="251"/>
      <c r="AA14" s="246">
        <f>$AA$7+Sheet2!S7</f>
        <v>44034</v>
      </c>
      <c r="AB14" s="246"/>
      <c r="AC14" s="156"/>
      <c r="AD14" s="144"/>
      <c r="AE14" s="104"/>
      <c r="AF14" s="104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</row>
    <row r="15" spans="1:245" ht="7.95" customHeight="1">
      <c r="A15" s="142"/>
      <c r="B15" s="103"/>
      <c r="C15" s="103"/>
      <c r="D15" s="151"/>
      <c r="E15" s="226"/>
      <c r="F15" s="226"/>
      <c r="G15" s="178"/>
      <c r="H15" s="179"/>
      <c r="I15" s="180"/>
      <c r="J15" s="180"/>
      <c r="K15" s="180"/>
      <c r="L15" s="177"/>
      <c r="M15" s="177"/>
      <c r="N15" s="177"/>
      <c r="O15" s="177"/>
      <c r="P15" s="181"/>
      <c r="Q15" s="181"/>
      <c r="R15" s="181"/>
      <c r="S15" s="183"/>
      <c r="T15" s="226"/>
      <c r="U15" s="226"/>
      <c r="V15" s="181"/>
      <c r="W15" s="177"/>
      <c r="X15" s="177"/>
      <c r="Y15" s="177"/>
      <c r="Z15" s="177"/>
      <c r="AA15" s="185"/>
      <c r="AB15" s="185"/>
      <c r="AC15" s="157"/>
      <c r="AD15" s="144"/>
      <c r="AE15" s="104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</row>
    <row r="16" spans="1:245" ht="34.5" customHeight="1">
      <c r="A16" s="142"/>
      <c r="B16" s="103"/>
      <c r="C16" s="339" t="s">
        <v>85</v>
      </c>
      <c r="D16" s="338"/>
      <c r="E16" s="269">
        <v>82</v>
      </c>
      <c r="F16" s="269"/>
      <c r="G16" s="180">
        <f>ROUNDDOWN((E16/(VLOOKUP($T$7,Sheet2!$A$3:$N$6,10,FALSE)))*100,1)</f>
        <v>49.2</v>
      </c>
      <c r="H16" s="248" t="str">
        <f>CONCATENATE(G16,Sheet2!$D$8)</f>
        <v>49.2c</v>
      </c>
      <c r="I16" s="249"/>
      <c r="J16" s="249"/>
      <c r="K16" s="249"/>
      <c r="L16" s="250">
        <v>6</v>
      </c>
      <c r="M16" s="249"/>
      <c r="N16" s="249"/>
      <c r="O16" s="249"/>
      <c r="P16" s="248" t="str">
        <f>Sheet2!H100</f>
        <v>8.2c</v>
      </c>
      <c r="Q16" s="249"/>
      <c r="R16" s="186">
        <v>3</v>
      </c>
      <c r="S16" s="174" t="str">
        <f>VLOOKUP(R16,Sheet2!$E$87:$J$89,6,FALSE)</f>
        <v>9.66 hours</v>
      </c>
      <c r="T16" s="269">
        <f>(((VLOOKUP($AA$4,Sheet2!$C$97:$D$105,2,FALSE)*$J$7)/3600*$AA$3)+(VLOOKUP($AA$2,Sheet2!$C$87:$D$95,2,FALSE)*$AA$3))*$R16</f>
        <v>135.33333333333334</v>
      </c>
      <c r="U16" s="269">
        <f>T16*100</f>
        <v>13533.333333333334</v>
      </c>
      <c r="V16" s="174" t="str">
        <f>Sheet2!L100</f>
        <v>21.7c</v>
      </c>
      <c r="W16" s="250">
        <v>8</v>
      </c>
      <c r="X16" s="249"/>
      <c r="Y16" s="251">
        <f>$AA$7+W16</f>
        <v>43986</v>
      </c>
      <c r="Z16" s="251"/>
      <c r="AA16" s="246">
        <f>$AA$7+Sheet2!S16</f>
        <v>44020</v>
      </c>
      <c r="AB16" s="246"/>
      <c r="AC16" s="156"/>
      <c r="AD16" s="144"/>
      <c r="AE16" s="104"/>
      <c r="AF16" s="104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</row>
    <row r="17" spans="1:245" ht="7.95" customHeight="1">
      <c r="A17" s="142"/>
      <c r="B17" s="103"/>
      <c r="C17" s="106"/>
      <c r="D17" s="151"/>
      <c r="E17" s="226"/>
      <c r="F17" s="226"/>
      <c r="G17" s="178"/>
      <c r="H17" s="179"/>
      <c r="I17" s="180"/>
      <c r="J17" s="180"/>
      <c r="K17" s="180"/>
      <c r="L17" s="177"/>
      <c r="M17" s="177"/>
      <c r="N17" s="177"/>
      <c r="O17" s="177"/>
      <c r="P17" s="181"/>
      <c r="Q17" s="181"/>
      <c r="R17" s="181"/>
      <c r="S17" s="183"/>
      <c r="T17" s="226"/>
      <c r="U17" s="226"/>
      <c r="V17" s="181"/>
      <c r="W17" s="177"/>
      <c r="X17" s="177"/>
      <c r="Y17" s="187"/>
      <c r="Z17" s="187"/>
      <c r="AA17" s="185"/>
      <c r="AB17" s="185"/>
      <c r="AC17" s="157"/>
      <c r="AD17" s="144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</row>
    <row r="18" spans="1:245" ht="34.5" customHeight="1">
      <c r="A18" s="142"/>
      <c r="B18" s="103"/>
      <c r="C18" s="197" t="s">
        <v>95</v>
      </c>
      <c r="D18" s="103"/>
      <c r="E18" s="269">
        <v>80</v>
      </c>
      <c r="F18" s="269"/>
      <c r="G18" s="180">
        <f>ROUNDDOWN((E18/(VLOOKUP($T$7,Sheet2!$A$3:$N$6,12,FALSE)))*100,1)</f>
        <v>48</v>
      </c>
      <c r="H18" s="248" t="str">
        <f>CONCATENATE(G18,Sheet2!$D$8)</f>
        <v>48c</v>
      </c>
      <c r="I18" s="249"/>
      <c r="J18" s="249"/>
      <c r="K18" s="249"/>
      <c r="L18" s="250">
        <v>6</v>
      </c>
      <c r="M18" s="249"/>
      <c r="N18" s="249"/>
      <c r="O18" s="249"/>
      <c r="P18" s="248" t="str">
        <f>Sheet2!H104</f>
        <v>8c</v>
      </c>
      <c r="Q18" s="249"/>
      <c r="R18" s="186">
        <v>3</v>
      </c>
      <c r="S18" s="174" t="str">
        <f>VLOOKUP(R18,Sheet2!$E$87:$J$89,6,FALSE)</f>
        <v>9.66 hours</v>
      </c>
      <c r="T18" s="269">
        <f>(((VLOOKUP($AA$4,Sheet2!$C$97:$D$105,2,FALSE)*$J$7)/3600*$AA$3)+(VLOOKUP($AA$2,Sheet2!$C$87:$D$95,2,FALSE)*$AA$3))*$R18</f>
        <v>135.33333333333334</v>
      </c>
      <c r="U18" s="269">
        <f>T18*100</f>
        <v>13533.333333333334</v>
      </c>
      <c r="V18" s="174" t="str">
        <f>Sheet2!L104</f>
        <v>21.5c</v>
      </c>
      <c r="W18" s="250">
        <v>8</v>
      </c>
      <c r="X18" s="249"/>
      <c r="Y18" s="251">
        <f>$AA$7+W18</f>
        <v>43986</v>
      </c>
      <c r="Z18" s="251"/>
      <c r="AA18" s="246">
        <f>$AA$7+Sheet2!S18</f>
        <v>44020</v>
      </c>
      <c r="AB18" s="246"/>
      <c r="AC18" s="156"/>
      <c r="AD18" s="144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</row>
    <row r="19" spans="1:245" ht="15.75" customHeight="1">
      <c r="A19" s="142"/>
      <c r="B19" s="103"/>
      <c r="C19" s="190" t="s">
        <v>93</v>
      </c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44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</row>
    <row r="20" spans="1:245" ht="15.75" customHeight="1">
      <c r="A20" s="142"/>
      <c r="B20" s="103"/>
      <c r="C20" s="190" t="s">
        <v>97</v>
      </c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44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</row>
    <row r="21" spans="1:245" ht="15.75" customHeight="1">
      <c r="A21" s="142"/>
      <c r="B21" s="103"/>
      <c r="C21" s="198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44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</row>
    <row r="22" spans="1:245" ht="8.5500000000000007" customHeight="1" thickBot="1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58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</row>
    <row r="23" spans="1:245" ht="15.75" customHeight="1" thickTop="1">
      <c r="A23" s="238"/>
      <c r="B23" s="239"/>
      <c r="C23" s="272" t="s">
        <v>98</v>
      </c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39"/>
      <c r="V23" s="239"/>
      <c r="W23" s="239"/>
      <c r="X23" s="239"/>
      <c r="Y23" s="239"/>
      <c r="Z23" s="239"/>
      <c r="AA23" s="239"/>
      <c r="AB23" s="239"/>
      <c r="AC23" s="239"/>
      <c r="AD23" s="240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28"/>
      <c r="DX23" s="228"/>
      <c r="DY23" s="228"/>
      <c r="DZ23" s="228"/>
      <c r="EA23" s="228"/>
      <c r="EB23" s="228"/>
      <c r="EC23" s="228"/>
      <c r="ED23" s="228"/>
      <c r="EE23" s="228"/>
      <c r="EF23" s="228"/>
      <c r="EG23" s="228"/>
      <c r="EH23" s="228"/>
      <c r="EI23" s="228"/>
      <c r="EJ23" s="228"/>
      <c r="EK23" s="228"/>
      <c r="EL23" s="228"/>
      <c r="EM23" s="228"/>
      <c r="EN23" s="228"/>
      <c r="EO23" s="228"/>
      <c r="EP23" s="228"/>
      <c r="EQ23" s="228"/>
      <c r="ER23" s="228"/>
      <c r="ES23" s="228"/>
      <c r="ET23" s="228"/>
      <c r="EU23" s="228"/>
      <c r="EV23" s="228"/>
      <c r="EW23" s="228"/>
      <c r="EX23" s="228"/>
      <c r="EY23" s="228"/>
      <c r="EZ23" s="228"/>
      <c r="FA23" s="228"/>
      <c r="FB23" s="228"/>
      <c r="FC23" s="228"/>
      <c r="FD23" s="228"/>
      <c r="FE23" s="228"/>
      <c r="FF23" s="228"/>
      <c r="FG23" s="228"/>
      <c r="FH23" s="228"/>
      <c r="FI23" s="228"/>
      <c r="FJ23" s="228"/>
      <c r="FK23" s="228"/>
      <c r="FL23" s="228"/>
      <c r="FM23" s="228"/>
      <c r="FN23" s="228"/>
      <c r="FO23" s="228"/>
      <c r="FP23" s="228"/>
      <c r="FQ23" s="228"/>
      <c r="FR23" s="228"/>
      <c r="FS23" s="228"/>
      <c r="FT23" s="228"/>
      <c r="FU23" s="228"/>
      <c r="FV23" s="228"/>
      <c r="FW23" s="228"/>
      <c r="FX23" s="228"/>
      <c r="FY23" s="228"/>
      <c r="FZ23" s="228"/>
      <c r="GA23" s="228"/>
      <c r="GB23" s="228"/>
      <c r="GC23" s="228"/>
      <c r="GD23" s="228"/>
      <c r="GE23" s="228"/>
      <c r="GF23" s="228"/>
      <c r="GG23" s="228"/>
      <c r="GH23" s="228"/>
      <c r="GI23" s="228"/>
      <c r="GJ23" s="228"/>
      <c r="GK23" s="228"/>
      <c r="GL23" s="228"/>
      <c r="GM23" s="228"/>
      <c r="GN23" s="228"/>
      <c r="GO23" s="228"/>
      <c r="GP23" s="228"/>
      <c r="GQ23" s="228"/>
      <c r="GR23" s="228"/>
      <c r="GS23" s="228"/>
      <c r="GT23" s="228"/>
      <c r="GU23" s="228"/>
      <c r="GV23" s="228"/>
      <c r="GW23" s="228"/>
      <c r="GX23" s="228"/>
      <c r="GY23" s="228"/>
      <c r="GZ23" s="228"/>
      <c r="HA23" s="228"/>
      <c r="HB23" s="228"/>
      <c r="HC23" s="228"/>
      <c r="HD23" s="228"/>
      <c r="HE23" s="228"/>
      <c r="HF23" s="228"/>
      <c r="HG23" s="228"/>
      <c r="HH23" s="228"/>
      <c r="HI23" s="228"/>
      <c r="HJ23" s="228"/>
      <c r="HK23" s="228"/>
      <c r="HL23" s="228"/>
      <c r="HM23" s="228"/>
      <c r="HN23" s="228"/>
      <c r="HO23" s="228"/>
      <c r="HP23" s="228"/>
      <c r="HQ23" s="228"/>
      <c r="HR23" s="228"/>
      <c r="HS23" s="228"/>
      <c r="HT23" s="228"/>
      <c r="HU23" s="228"/>
      <c r="HV23" s="228"/>
      <c r="HW23" s="228"/>
      <c r="HX23" s="228"/>
      <c r="HY23" s="228"/>
      <c r="HZ23" s="228"/>
      <c r="IA23" s="228"/>
      <c r="IB23" s="228"/>
      <c r="IC23" s="228"/>
      <c r="ID23" s="228"/>
      <c r="IE23" s="228"/>
      <c r="IF23" s="228"/>
      <c r="IG23" s="228"/>
      <c r="IH23" s="228"/>
      <c r="II23" s="228"/>
      <c r="IJ23" s="228"/>
      <c r="IK23" s="228"/>
    </row>
    <row r="24" spans="1:245" ht="15.75" customHeight="1">
      <c r="A24" s="230"/>
      <c r="B24" s="228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28"/>
      <c r="V24" s="228"/>
      <c r="W24" s="228"/>
      <c r="X24" s="228"/>
      <c r="Y24" s="228"/>
      <c r="Z24" s="228"/>
      <c r="AA24" s="228"/>
      <c r="AB24" s="228"/>
      <c r="AC24" s="228"/>
      <c r="AD24" s="231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28"/>
      <c r="DX24" s="228"/>
      <c r="DY24" s="228"/>
      <c r="DZ24" s="228"/>
      <c r="EA24" s="228"/>
      <c r="EB24" s="228"/>
      <c r="EC24" s="228"/>
      <c r="ED24" s="228"/>
      <c r="EE24" s="228"/>
      <c r="EF24" s="228"/>
      <c r="EG24" s="228"/>
      <c r="EH24" s="228"/>
      <c r="EI24" s="228"/>
      <c r="EJ24" s="228"/>
      <c r="EK24" s="228"/>
      <c r="EL24" s="228"/>
      <c r="EM24" s="228"/>
      <c r="EN24" s="228"/>
      <c r="EO24" s="228"/>
      <c r="EP24" s="228"/>
      <c r="EQ24" s="228"/>
      <c r="ER24" s="228"/>
      <c r="ES24" s="228"/>
      <c r="ET24" s="228"/>
      <c r="EU24" s="228"/>
      <c r="EV24" s="228"/>
      <c r="EW24" s="228"/>
      <c r="EX24" s="228"/>
      <c r="EY24" s="228"/>
      <c r="EZ24" s="228"/>
      <c r="FA24" s="228"/>
      <c r="FB24" s="228"/>
      <c r="FC24" s="228"/>
      <c r="FD24" s="228"/>
      <c r="FE24" s="228"/>
      <c r="FF24" s="228"/>
      <c r="FG24" s="228"/>
      <c r="FH24" s="228"/>
      <c r="FI24" s="228"/>
      <c r="FJ24" s="228"/>
      <c r="FK24" s="228"/>
      <c r="FL24" s="228"/>
      <c r="FM24" s="228"/>
      <c r="FN24" s="228"/>
      <c r="FO24" s="228"/>
      <c r="FP24" s="228"/>
      <c r="FQ24" s="228"/>
      <c r="FR24" s="228"/>
      <c r="FS24" s="228"/>
      <c r="FT24" s="228"/>
      <c r="FU24" s="228"/>
      <c r="FV24" s="228"/>
      <c r="FW24" s="228"/>
      <c r="FX24" s="228"/>
      <c r="FY24" s="228"/>
      <c r="FZ24" s="228"/>
      <c r="GA24" s="228"/>
      <c r="GB24" s="228"/>
      <c r="GC24" s="228"/>
      <c r="GD24" s="228"/>
      <c r="GE24" s="228"/>
      <c r="GF24" s="228"/>
      <c r="GG24" s="228"/>
      <c r="GH24" s="228"/>
      <c r="GI24" s="228"/>
      <c r="GJ24" s="228"/>
      <c r="GK24" s="228"/>
      <c r="GL24" s="228"/>
      <c r="GM24" s="228"/>
      <c r="GN24" s="228"/>
      <c r="GO24" s="228"/>
      <c r="GP24" s="228"/>
      <c r="GQ24" s="228"/>
      <c r="GR24" s="228"/>
      <c r="GS24" s="228"/>
      <c r="GT24" s="228"/>
      <c r="GU24" s="228"/>
      <c r="GV24" s="228"/>
      <c r="GW24" s="228"/>
      <c r="GX24" s="228"/>
      <c r="GY24" s="228"/>
      <c r="GZ24" s="228"/>
      <c r="HA24" s="228"/>
      <c r="HB24" s="228"/>
      <c r="HC24" s="228"/>
      <c r="HD24" s="228"/>
      <c r="HE24" s="228"/>
      <c r="HF24" s="228"/>
      <c r="HG24" s="228"/>
      <c r="HH24" s="228"/>
      <c r="HI24" s="228"/>
      <c r="HJ24" s="228"/>
      <c r="HK24" s="228"/>
      <c r="HL24" s="228"/>
      <c r="HM24" s="228"/>
      <c r="HN24" s="228"/>
      <c r="HO24" s="228"/>
      <c r="HP24" s="228"/>
      <c r="HQ24" s="228"/>
      <c r="HR24" s="228"/>
      <c r="HS24" s="228"/>
      <c r="HT24" s="228"/>
      <c r="HU24" s="228"/>
      <c r="HV24" s="228"/>
      <c r="HW24" s="228"/>
      <c r="HX24" s="228"/>
      <c r="HY24" s="228"/>
      <c r="HZ24" s="228"/>
      <c r="IA24" s="228"/>
      <c r="IB24" s="228"/>
      <c r="IC24" s="228"/>
      <c r="ID24" s="228"/>
      <c r="IE24" s="228"/>
      <c r="IF24" s="228"/>
      <c r="IG24" s="228"/>
      <c r="IH24" s="228"/>
      <c r="II24" s="228"/>
      <c r="IJ24" s="228"/>
      <c r="IK24" s="228"/>
    </row>
    <row r="25" spans="1:245" ht="15.75" customHeight="1">
      <c r="A25" s="230"/>
      <c r="B25" s="228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28"/>
      <c r="V25" s="228"/>
      <c r="W25" s="228"/>
      <c r="X25" s="228"/>
      <c r="Y25" s="228"/>
      <c r="Z25" s="228"/>
      <c r="AA25" s="228"/>
      <c r="AB25" s="228"/>
      <c r="AC25" s="228"/>
      <c r="AD25" s="231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28"/>
      <c r="DX25" s="228"/>
      <c r="DY25" s="228"/>
      <c r="DZ25" s="228"/>
      <c r="EA25" s="228"/>
      <c r="EB25" s="228"/>
      <c r="EC25" s="228"/>
      <c r="ED25" s="228"/>
      <c r="EE25" s="228"/>
      <c r="EF25" s="228"/>
      <c r="EG25" s="228"/>
      <c r="EH25" s="228"/>
      <c r="EI25" s="228"/>
      <c r="EJ25" s="228"/>
      <c r="EK25" s="228"/>
      <c r="EL25" s="228"/>
      <c r="EM25" s="228"/>
      <c r="EN25" s="228"/>
      <c r="EO25" s="228"/>
      <c r="EP25" s="228"/>
      <c r="EQ25" s="228"/>
      <c r="ER25" s="228"/>
      <c r="ES25" s="228"/>
      <c r="ET25" s="228"/>
      <c r="EU25" s="228"/>
      <c r="EV25" s="228"/>
      <c r="EW25" s="228"/>
      <c r="EX25" s="228"/>
      <c r="EY25" s="228"/>
      <c r="EZ25" s="228"/>
      <c r="FA25" s="228"/>
      <c r="FB25" s="228"/>
      <c r="FC25" s="228"/>
      <c r="FD25" s="228"/>
      <c r="FE25" s="228"/>
      <c r="FF25" s="228"/>
      <c r="FG25" s="228"/>
      <c r="FH25" s="228"/>
      <c r="FI25" s="228"/>
      <c r="FJ25" s="228"/>
      <c r="FK25" s="228"/>
      <c r="FL25" s="228"/>
      <c r="FM25" s="228"/>
      <c r="FN25" s="228"/>
      <c r="FO25" s="228"/>
      <c r="FP25" s="228"/>
      <c r="FQ25" s="228"/>
      <c r="FR25" s="228"/>
      <c r="FS25" s="228"/>
      <c r="FT25" s="228"/>
      <c r="FU25" s="228"/>
      <c r="FV25" s="228"/>
      <c r="FW25" s="228"/>
      <c r="FX25" s="228"/>
      <c r="FY25" s="228"/>
      <c r="FZ25" s="228"/>
      <c r="GA25" s="228"/>
      <c r="GB25" s="228"/>
      <c r="GC25" s="228"/>
      <c r="GD25" s="228"/>
      <c r="GE25" s="228"/>
      <c r="GF25" s="228"/>
      <c r="GG25" s="228"/>
      <c r="GH25" s="228"/>
      <c r="GI25" s="228"/>
      <c r="GJ25" s="228"/>
      <c r="GK25" s="228"/>
      <c r="GL25" s="228"/>
      <c r="GM25" s="228"/>
      <c r="GN25" s="228"/>
      <c r="GO25" s="228"/>
      <c r="GP25" s="228"/>
      <c r="GQ25" s="228"/>
      <c r="GR25" s="228"/>
      <c r="GS25" s="228"/>
      <c r="GT25" s="228"/>
      <c r="GU25" s="228"/>
      <c r="GV25" s="228"/>
      <c r="GW25" s="228"/>
      <c r="GX25" s="228"/>
      <c r="GY25" s="228"/>
      <c r="GZ25" s="228"/>
      <c r="HA25" s="228"/>
      <c r="HB25" s="228"/>
      <c r="HC25" s="228"/>
      <c r="HD25" s="228"/>
      <c r="HE25" s="228"/>
      <c r="HF25" s="228"/>
      <c r="HG25" s="228"/>
      <c r="HH25" s="228"/>
      <c r="HI25" s="228"/>
      <c r="HJ25" s="228"/>
      <c r="HK25" s="228"/>
      <c r="HL25" s="228"/>
      <c r="HM25" s="228"/>
      <c r="HN25" s="228"/>
      <c r="HO25" s="228"/>
      <c r="HP25" s="228"/>
      <c r="HQ25" s="228"/>
      <c r="HR25" s="228"/>
      <c r="HS25" s="228"/>
      <c r="HT25" s="228"/>
      <c r="HU25" s="228"/>
      <c r="HV25" s="228"/>
      <c r="HW25" s="228"/>
      <c r="HX25" s="228"/>
      <c r="HY25" s="228"/>
      <c r="HZ25" s="228"/>
      <c r="IA25" s="228"/>
      <c r="IB25" s="228"/>
      <c r="IC25" s="228"/>
      <c r="ID25" s="228"/>
      <c r="IE25" s="228"/>
      <c r="IF25" s="228"/>
      <c r="IG25" s="228"/>
      <c r="IH25" s="228"/>
      <c r="II25" s="228"/>
      <c r="IJ25" s="228"/>
      <c r="IK25" s="228"/>
    </row>
    <row r="26" spans="1:245" ht="15.75" customHeight="1">
      <c r="A26" s="230"/>
      <c r="B26" s="228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28"/>
      <c r="V26" s="228"/>
      <c r="W26" s="228"/>
      <c r="X26" s="228"/>
      <c r="Y26" s="228"/>
      <c r="Z26" s="228"/>
      <c r="AA26" s="228"/>
      <c r="AB26" s="228"/>
      <c r="AC26" s="228"/>
      <c r="AD26" s="231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  <c r="EA26" s="228"/>
      <c r="EB26" s="228"/>
      <c r="EC26" s="228"/>
      <c r="ED26" s="228"/>
      <c r="EE26" s="228"/>
      <c r="EF26" s="228"/>
      <c r="EG26" s="228"/>
      <c r="EH26" s="228"/>
      <c r="EI26" s="228"/>
      <c r="EJ26" s="228"/>
      <c r="EK26" s="228"/>
      <c r="EL26" s="228"/>
      <c r="EM26" s="228"/>
      <c r="EN26" s="228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8"/>
      <c r="FH26" s="228"/>
      <c r="FI26" s="228"/>
      <c r="FJ26" s="228"/>
      <c r="FK26" s="228"/>
      <c r="FL26" s="228"/>
      <c r="FM26" s="228"/>
      <c r="FN26" s="228"/>
      <c r="FO26" s="228"/>
      <c r="FP26" s="228"/>
      <c r="FQ26" s="228"/>
      <c r="FR26" s="228"/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228"/>
      <c r="GF26" s="228"/>
      <c r="GG26" s="228"/>
      <c r="GH26" s="228"/>
      <c r="GI26" s="228"/>
      <c r="GJ26" s="228"/>
      <c r="GK26" s="228"/>
      <c r="GL26" s="228"/>
      <c r="GM26" s="228"/>
      <c r="GN26" s="228"/>
      <c r="GO26" s="228"/>
      <c r="GP26" s="228"/>
      <c r="GQ26" s="228"/>
      <c r="GR26" s="228"/>
      <c r="GS26" s="228"/>
      <c r="GT26" s="228"/>
      <c r="GU26" s="228"/>
      <c r="GV26" s="228"/>
      <c r="GW26" s="228"/>
      <c r="GX26" s="228"/>
      <c r="GY26" s="228"/>
      <c r="GZ26" s="228"/>
      <c r="HA26" s="228"/>
      <c r="HB26" s="228"/>
      <c r="HC26" s="228"/>
      <c r="HD26" s="228"/>
      <c r="HE26" s="228"/>
      <c r="HF26" s="228"/>
      <c r="HG26" s="228"/>
      <c r="HH26" s="228"/>
      <c r="HI26" s="228"/>
      <c r="HJ26" s="228"/>
      <c r="HK26" s="228"/>
      <c r="HL26" s="228"/>
      <c r="HM26" s="228"/>
      <c r="HN26" s="228"/>
      <c r="HO26" s="228"/>
      <c r="HP26" s="228"/>
      <c r="HQ26" s="228"/>
      <c r="HR26" s="228"/>
      <c r="HS26" s="228"/>
      <c r="HT26" s="228"/>
      <c r="HU26" s="228"/>
      <c r="HV26" s="228"/>
      <c r="HW26" s="228"/>
      <c r="HX26" s="228"/>
      <c r="HY26" s="228"/>
      <c r="HZ26" s="228"/>
      <c r="IA26" s="228"/>
      <c r="IB26" s="228"/>
      <c r="IC26" s="228"/>
      <c r="ID26" s="228"/>
      <c r="IE26" s="228"/>
      <c r="IF26" s="228"/>
      <c r="IG26" s="228"/>
      <c r="IH26" s="228"/>
      <c r="II26" s="228"/>
      <c r="IJ26" s="228"/>
      <c r="IK26" s="228"/>
    </row>
    <row r="27" spans="1:245" ht="15.75" customHeight="1">
      <c r="A27" s="230"/>
      <c r="B27" s="228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28"/>
      <c r="V27" s="228"/>
      <c r="W27" s="228"/>
      <c r="X27" s="228"/>
      <c r="Y27" s="228"/>
      <c r="Z27" s="228"/>
      <c r="AA27" s="228"/>
      <c r="AB27" s="228"/>
      <c r="AC27" s="228"/>
      <c r="AD27" s="231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28"/>
      <c r="BY27" s="228"/>
      <c r="BZ27" s="228"/>
      <c r="CA27" s="228"/>
      <c r="CB27" s="228"/>
      <c r="CC27" s="228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28"/>
      <c r="DX27" s="228"/>
      <c r="DY27" s="228"/>
      <c r="DZ27" s="228"/>
      <c r="EA27" s="228"/>
      <c r="EB27" s="228"/>
      <c r="EC27" s="228"/>
      <c r="ED27" s="228"/>
      <c r="EE27" s="228"/>
      <c r="EF27" s="228"/>
      <c r="EG27" s="228"/>
      <c r="EH27" s="228"/>
      <c r="EI27" s="228"/>
      <c r="EJ27" s="228"/>
      <c r="EK27" s="228"/>
      <c r="EL27" s="228"/>
      <c r="EM27" s="228"/>
      <c r="EN27" s="228"/>
      <c r="EO27" s="228"/>
      <c r="EP27" s="228"/>
      <c r="EQ27" s="228"/>
      <c r="ER27" s="228"/>
      <c r="ES27" s="228"/>
      <c r="ET27" s="228"/>
      <c r="EU27" s="228"/>
      <c r="EV27" s="228"/>
      <c r="EW27" s="228"/>
      <c r="EX27" s="228"/>
      <c r="EY27" s="228"/>
      <c r="EZ27" s="228"/>
      <c r="FA27" s="228"/>
      <c r="FB27" s="228"/>
      <c r="FC27" s="228"/>
      <c r="FD27" s="228"/>
      <c r="FE27" s="228"/>
      <c r="FF27" s="228"/>
      <c r="FG27" s="228"/>
      <c r="FH27" s="228"/>
      <c r="FI27" s="228"/>
      <c r="FJ27" s="228"/>
      <c r="FK27" s="228"/>
      <c r="FL27" s="228"/>
      <c r="FM27" s="228"/>
      <c r="FN27" s="228"/>
      <c r="FO27" s="228"/>
      <c r="FP27" s="228"/>
      <c r="FQ27" s="228"/>
      <c r="FR27" s="228"/>
      <c r="FS27" s="228"/>
      <c r="FT27" s="228"/>
      <c r="FU27" s="228"/>
      <c r="FV27" s="228"/>
      <c r="FW27" s="228"/>
      <c r="FX27" s="228"/>
      <c r="FY27" s="228"/>
      <c r="FZ27" s="228"/>
      <c r="GA27" s="228"/>
      <c r="GB27" s="228"/>
      <c r="GC27" s="228"/>
      <c r="GD27" s="228"/>
      <c r="GE27" s="228"/>
      <c r="GF27" s="228"/>
      <c r="GG27" s="228"/>
      <c r="GH27" s="228"/>
      <c r="GI27" s="228"/>
      <c r="GJ27" s="228"/>
      <c r="GK27" s="228"/>
      <c r="GL27" s="228"/>
      <c r="GM27" s="228"/>
      <c r="GN27" s="228"/>
      <c r="GO27" s="228"/>
      <c r="GP27" s="228"/>
      <c r="GQ27" s="228"/>
      <c r="GR27" s="228"/>
      <c r="GS27" s="228"/>
      <c r="GT27" s="228"/>
      <c r="GU27" s="228"/>
      <c r="GV27" s="228"/>
      <c r="GW27" s="228"/>
      <c r="GX27" s="228"/>
      <c r="GY27" s="228"/>
      <c r="GZ27" s="228"/>
      <c r="HA27" s="228"/>
      <c r="HB27" s="228"/>
      <c r="HC27" s="228"/>
      <c r="HD27" s="228"/>
      <c r="HE27" s="228"/>
      <c r="HF27" s="228"/>
      <c r="HG27" s="228"/>
      <c r="HH27" s="228"/>
      <c r="HI27" s="228"/>
      <c r="HJ27" s="228"/>
      <c r="HK27" s="228"/>
      <c r="HL27" s="228"/>
      <c r="HM27" s="228"/>
      <c r="HN27" s="228"/>
      <c r="HO27" s="228"/>
      <c r="HP27" s="228"/>
      <c r="HQ27" s="228"/>
      <c r="HR27" s="228"/>
      <c r="HS27" s="228"/>
      <c r="HT27" s="228"/>
      <c r="HU27" s="228"/>
      <c r="HV27" s="228"/>
      <c r="HW27" s="228"/>
      <c r="HX27" s="228"/>
      <c r="HY27" s="228"/>
      <c r="HZ27" s="228"/>
      <c r="IA27" s="228"/>
      <c r="IB27" s="228"/>
      <c r="IC27" s="228"/>
      <c r="ID27" s="228"/>
      <c r="IE27" s="228"/>
      <c r="IF27" s="228"/>
      <c r="IG27" s="228"/>
      <c r="IH27" s="228"/>
      <c r="II27" s="228"/>
      <c r="IJ27" s="228"/>
      <c r="IK27" s="228"/>
    </row>
    <row r="28" spans="1:245" ht="15.75" customHeight="1">
      <c r="A28" s="230"/>
      <c r="B28" s="228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28"/>
      <c r="V28" s="228"/>
      <c r="W28" s="228"/>
      <c r="X28" s="228"/>
      <c r="Y28" s="228"/>
      <c r="Z28" s="228"/>
      <c r="AA28" s="228"/>
      <c r="AB28" s="228"/>
      <c r="AC28" s="228"/>
      <c r="AD28" s="231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8"/>
      <c r="FH28" s="228"/>
      <c r="FI28" s="228"/>
      <c r="FJ28" s="228"/>
      <c r="FK28" s="228"/>
      <c r="FL28" s="228"/>
      <c r="FM28" s="228"/>
      <c r="FN28" s="228"/>
      <c r="FO28" s="228"/>
      <c r="FP28" s="228"/>
      <c r="FQ28" s="228"/>
      <c r="FR28" s="228"/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228"/>
      <c r="GF28" s="228"/>
      <c r="GG28" s="228"/>
      <c r="GH28" s="228"/>
      <c r="GI28" s="228"/>
      <c r="GJ28" s="228"/>
      <c r="GK28" s="228"/>
      <c r="GL28" s="228"/>
      <c r="GM28" s="228"/>
      <c r="GN28" s="228"/>
      <c r="GO28" s="228"/>
      <c r="GP28" s="228"/>
      <c r="GQ28" s="228"/>
      <c r="GR28" s="228"/>
      <c r="GS28" s="228"/>
      <c r="GT28" s="228"/>
      <c r="GU28" s="228"/>
      <c r="GV28" s="228"/>
      <c r="GW28" s="228"/>
      <c r="GX28" s="228"/>
      <c r="GY28" s="228"/>
      <c r="GZ28" s="228"/>
      <c r="HA28" s="228"/>
      <c r="HB28" s="228"/>
      <c r="HC28" s="228"/>
      <c r="HD28" s="228"/>
      <c r="HE28" s="228"/>
      <c r="HF28" s="228"/>
      <c r="HG28" s="228"/>
      <c r="HH28" s="228"/>
      <c r="HI28" s="228"/>
      <c r="HJ28" s="228"/>
      <c r="HK28" s="228"/>
      <c r="HL28" s="228"/>
      <c r="HM28" s="228"/>
      <c r="HN28" s="228"/>
      <c r="HO28" s="228"/>
      <c r="HP28" s="228"/>
      <c r="HQ28" s="228"/>
      <c r="HR28" s="228"/>
      <c r="HS28" s="228"/>
      <c r="HT28" s="228"/>
      <c r="HU28" s="228"/>
      <c r="HV28" s="228"/>
      <c r="HW28" s="228"/>
      <c r="HX28" s="228"/>
      <c r="HY28" s="228"/>
      <c r="HZ28" s="228"/>
      <c r="IA28" s="228"/>
      <c r="IB28" s="228"/>
      <c r="IC28" s="228"/>
      <c r="ID28" s="228"/>
      <c r="IE28" s="228"/>
      <c r="IF28" s="228"/>
      <c r="IG28" s="228"/>
      <c r="IH28" s="228"/>
      <c r="II28" s="228"/>
      <c r="IJ28" s="228"/>
      <c r="IK28" s="228"/>
    </row>
    <row r="29" spans="1:245" ht="15.75" customHeight="1">
      <c r="A29" s="230"/>
      <c r="B29" s="228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28"/>
      <c r="V29" s="228"/>
      <c r="W29" s="228"/>
      <c r="X29" s="228"/>
      <c r="Y29" s="228"/>
      <c r="Z29" s="228"/>
      <c r="AA29" s="228"/>
      <c r="AB29" s="228"/>
      <c r="AC29" s="228"/>
      <c r="AD29" s="231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28"/>
      <c r="DX29" s="228"/>
      <c r="DY29" s="228"/>
      <c r="DZ29" s="228"/>
      <c r="EA29" s="228"/>
      <c r="EB29" s="228"/>
      <c r="EC29" s="228"/>
      <c r="ED29" s="228"/>
      <c r="EE29" s="228"/>
      <c r="EF29" s="228"/>
      <c r="EG29" s="228"/>
      <c r="EH29" s="228"/>
      <c r="EI29" s="228"/>
      <c r="EJ29" s="228"/>
      <c r="EK29" s="228"/>
      <c r="EL29" s="228"/>
      <c r="EM29" s="228"/>
      <c r="EN29" s="228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  <c r="FB29" s="228"/>
      <c r="FC29" s="228"/>
      <c r="FD29" s="228"/>
      <c r="FE29" s="228"/>
      <c r="FF29" s="228"/>
      <c r="FG29" s="228"/>
      <c r="FH29" s="228"/>
      <c r="FI29" s="228"/>
      <c r="FJ29" s="228"/>
      <c r="FK29" s="228"/>
      <c r="FL29" s="228"/>
      <c r="FM29" s="228"/>
      <c r="FN29" s="228"/>
      <c r="FO29" s="228"/>
      <c r="FP29" s="228"/>
      <c r="FQ29" s="228"/>
      <c r="FR29" s="228"/>
      <c r="FS29" s="228"/>
      <c r="FT29" s="228"/>
      <c r="FU29" s="228"/>
      <c r="FV29" s="228"/>
      <c r="FW29" s="228"/>
      <c r="FX29" s="228"/>
      <c r="FY29" s="228"/>
      <c r="FZ29" s="228"/>
      <c r="GA29" s="228"/>
      <c r="GB29" s="228"/>
      <c r="GC29" s="228"/>
      <c r="GD29" s="228"/>
      <c r="GE29" s="228"/>
      <c r="GF29" s="228"/>
      <c r="GG29" s="228"/>
      <c r="GH29" s="228"/>
      <c r="GI29" s="228"/>
      <c r="GJ29" s="228"/>
      <c r="GK29" s="228"/>
      <c r="GL29" s="228"/>
      <c r="GM29" s="228"/>
      <c r="GN29" s="228"/>
      <c r="GO29" s="228"/>
      <c r="GP29" s="228"/>
      <c r="GQ29" s="228"/>
      <c r="GR29" s="228"/>
      <c r="GS29" s="228"/>
      <c r="GT29" s="228"/>
      <c r="GU29" s="228"/>
      <c r="GV29" s="228"/>
      <c r="GW29" s="228"/>
      <c r="GX29" s="228"/>
      <c r="GY29" s="228"/>
      <c r="GZ29" s="228"/>
      <c r="HA29" s="228"/>
      <c r="HB29" s="228"/>
      <c r="HC29" s="228"/>
      <c r="HD29" s="228"/>
      <c r="HE29" s="228"/>
      <c r="HF29" s="228"/>
      <c r="HG29" s="228"/>
      <c r="HH29" s="228"/>
      <c r="HI29" s="228"/>
      <c r="HJ29" s="228"/>
      <c r="HK29" s="228"/>
      <c r="HL29" s="228"/>
      <c r="HM29" s="228"/>
      <c r="HN29" s="228"/>
      <c r="HO29" s="228"/>
      <c r="HP29" s="228"/>
      <c r="HQ29" s="228"/>
      <c r="HR29" s="228"/>
      <c r="HS29" s="228"/>
      <c r="HT29" s="228"/>
      <c r="HU29" s="228"/>
      <c r="HV29" s="228"/>
      <c r="HW29" s="228"/>
      <c r="HX29" s="228"/>
      <c r="HY29" s="228"/>
      <c r="HZ29" s="228"/>
      <c r="IA29" s="228"/>
      <c r="IB29" s="228"/>
      <c r="IC29" s="228"/>
      <c r="ID29" s="228"/>
      <c r="IE29" s="228"/>
      <c r="IF29" s="228"/>
      <c r="IG29" s="228"/>
      <c r="IH29" s="228"/>
      <c r="II29" s="228"/>
      <c r="IJ29" s="228"/>
      <c r="IK29" s="228"/>
    </row>
    <row r="30" spans="1:245" ht="15.75" customHeight="1">
      <c r="A30" s="230"/>
      <c r="B30" s="228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28"/>
      <c r="V30" s="228"/>
      <c r="W30" s="228"/>
      <c r="X30" s="228"/>
      <c r="Y30" s="228"/>
      <c r="Z30" s="228"/>
      <c r="AA30" s="228"/>
      <c r="AB30" s="228"/>
      <c r="AC30" s="228"/>
      <c r="AD30" s="231"/>
      <c r="AE30" s="158"/>
    </row>
    <row r="31" spans="1:245" ht="15.75" customHeight="1">
      <c r="A31" s="230"/>
      <c r="B31" s="228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28"/>
      <c r="V31" s="229"/>
      <c r="W31" s="234"/>
      <c r="X31" s="234"/>
      <c r="Y31" s="234"/>
      <c r="Z31" s="234"/>
      <c r="AA31" s="234"/>
      <c r="AB31" s="234"/>
      <c r="AC31" s="234"/>
      <c r="AD31" s="235"/>
      <c r="AE31" s="158"/>
    </row>
    <row r="32" spans="1:245" ht="15.75" customHeight="1">
      <c r="A32" s="230"/>
      <c r="B32" s="228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28"/>
      <c r="V32" s="275" t="s">
        <v>92</v>
      </c>
      <c r="W32" s="275"/>
      <c r="X32" s="275"/>
      <c r="Y32" s="275"/>
      <c r="Z32" s="275"/>
      <c r="AA32" s="275"/>
      <c r="AB32" s="275"/>
      <c r="AC32" s="234"/>
      <c r="AD32" s="235"/>
      <c r="AE32" s="158"/>
    </row>
    <row r="33" spans="1:48" ht="15.75" customHeight="1" thickBot="1">
      <c r="A33" s="232"/>
      <c r="B33" s="233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33"/>
      <c r="V33" s="276"/>
      <c r="W33" s="276"/>
      <c r="X33" s="276"/>
      <c r="Y33" s="276"/>
      <c r="Z33" s="276"/>
      <c r="AA33" s="276"/>
      <c r="AB33" s="276"/>
      <c r="AC33" s="236"/>
      <c r="AD33" s="237"/>
      <c r="AE33" s="158"/>
    </row>
    <row r="34" spans="1:48" ht="16.8" customHeight="1" thickTop="1"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48" ht="16.8" customHeight="1"/>
    <row r="38" spans="1:48" ht="15.75" customHeight="1"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</row>
    <row r="39" spans="1:48" ht="15.75" customHeight="1"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</row>
    <row r="40" spans="1:48" ht="15.75" customHeight="1"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</row>
    <row r="41" spans="1:48" ht="15.75" customHeight="1"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</row>
    <row r="42" spans="1:48" ht="15.75" customHeight="1"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</row>
    <row r="43" spans="1:48" ht="15.75" customHeight="1"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</row>
    <row r="44" spans="1:48" ht="15.75" customHeight="1"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</row>
    <row r="45" spans="1:48" ht="15.75" customHeight="1"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</row>
    <row r="46" spans="1:48" ht="15.75" customHeight="1"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</row>
    <row r="47" spans="1:48" ht="15.75" customHeight="1"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</row>
    <row r="48" spans="1:48" ht="15.75" customHeight="1"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</row>
  </sheetData>
  <sheetProtection algorithmName="SHA-512" hashValue="Zk6+1KgLe2pMEQLRpHCRGnTcYurr9VmiyhdqM/vaRC1BURBuF9z28r6NmS2f44sLamqc+6dJuIvQkrdxtt+Ydg==" saltValue="ojUkZuF+HMV3+ruPE2AJ9Q==" spinCount="100000" sheet="1" objects="1" scenarios="1"/>
  <mergeCells count="61">
    <mergeCell ref="C2:S4"/>
    <mergeCell ref="AA16:AB16"/>
    <mergeCell ref="AA12:AB12"/>
    <mergeCell ref="Q7:S7"/>
    <mergeCell ref="AA2:AB2"/>
    <mergeCell ref="Y10:Z10"/>
    <mergeCell ref="W9:X9"/>
    <mergeCell ref="AA4:AB4"/>
    <mergeCell ref="Y12:Z12"/>
    <mergeCell ref="W14:X14"/>
    <mergeCell ref="AA7:AB7"/>
    <mergeCell ref="L14:O14"/>
    <mergeCell ref="P18:Q18"/>
    <mergeCell ref="C23:T33"/>
    <mergeCell ref="V32:AB33"/>
    <mergeCell ref="B7:I7"/>
    <mergeCell ref="E18:F18"/>
    <mergeCell ref="E16:F16"/>
    <mergeCell ref="H18:K18"/>
    <mergeCell ref="AA3:AB3"/>
    <mergeCell ref="J7:L7"/>
    <mergeCell ref="L18:O18"/>
    <mergeCell ref="P16:Q16"/>
    <mergeCell ref="L9:O9"/>
    <mergeCell ref="Y14:Z14"/>
    <mergeCell ref="W16:X16"/>
    <mergeCell ref="P14:Q14"/>
    <mergeCell ref="W10:X10"/>
    <mergeCell ref="P10:Q10"/>
    <mergeCell ref="L16:O16"/>
    <mergeCell ref="L12:O12"/>
    <mergeCell ref="L10:O10"/>
    <mergeCell ref="H14:K14"/>
    <mergeCell ref="H16:K16"/>
    <mergeCell ref="E12:F12"/>
    <mergeCell ref="E14:F14"/>
    <mergeCell ref="H9:K9"/>
    <mergeCell ref="E10:F10"/>
    <mergeCell ref="H10:K10"/>
    <mergeCell ref="H12:K12"/>
    <mergeCell ref="E9:F9"/>
    <mergeCell ref="P9:Q9"/>
    <mergeCell ref="P12:Q12"/>
    <mergeCell ref="W12:X12"/>
    <mergeCell ref="V7:Z7"/>
    <mergeCell ref="T10:U10"/>
    <mergeCell ref="T12:U12"/>
    <mergeCell ref="AA9:AB9"/>
    <mergeCell ref="AA14:AB14"/>
    <mergeCell ref="AA10:AB10"/>
    <mergeCell ref="Y9:Z9"/>
    <mergeCell ref="T2:Z2"/>
    <mergeCell ref="T3:Z3"/>
    <mergeCell ref="T4:Z4"/>
    <mergeCell ref="T14:U14"/>
    <mergeCell ref="T16:U16"/>
    <mergeCell ref="T18:U18"/>
    <mergeCell ref="AA18:AB18"/>
    <mergeCell ref="Y16:Z16"/>
    <mergeCell ref="Y18:Z18"/>
    <mergeCell ref="W18:X18"/>
  </mergeCells>
  <pageMargins left="0.43307086614173229" right="3.937007874015748E-2" top="0.15748031496062992" bottom="0.15748031496062992" header="0.31496062992125984" footer="0.31496062992125984"/>
  <pageSetup scale="91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D993696-A720-49EB-A996-0C60616F13EF}">
          <x14:formula1>
            <xm:f>Sheet2!$A$16:$A$46</xm:f>
          </x14:formula1>
          <xm:sqref>AA7:AB7</xm:sqref>
        </x14:dataValidation>
        <x14:dataValidation type="list" allowBlank="1" showInputMessage="1" showErrorMessage="1" xr:uid="{E55A1773-B646-4738-8EF8-8855CA9BFE52}">
          <x14:formula1>
            <xm:f>Sheet2!$C$87:$C$95</xm:f>
          </x14:formula1>
          <xm:sqref>AA2:AB2</xm:sqref>
        </x14:dataValidation>
        <x14:dataValidation type="list" allowBlank="1" showInputMessage="1" showErrorMessage="1" xr:uid="{19BE1FFE-5B76-4D74-A7B6-3B60011044A2}">
          <x14:formula1>
            <xm:f>Sheet2!$C$97:$C$105</xm:f>
          </x14:formula1>
          <xm:sqref>AA4:AB4</xm:sqref>
        </x14:dataValidation>
        <x14:dataValidation type="list" allowBlank="1" showInputMessage="1" showErrorMessage="1" xr:uid="{FB3A0C60-1DF5-4BE2-8720-A3CE24C270DD}">
          <x14:formula1>
            <xm:f>Sheet2!$A$3:$A$6</xm:f>
          </x14:formula1>
          <xm:sqref>T7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42"/>
  <sheetViews>
    <sheetView showGridLines="0" topLeftCell="D82" workbookViewId="0">
      <selection activeCell="F104" sqref="F104"/>
    </sheetView>
  </sheetViews>
  <sheetFormatPr defaultColWidth="8.77734375" defaultRowHeight="15" customHeight="1"/>
  <cols>
    <col min="1" max="1" width="7.6640625" style="1" customWidth="1"/>
    <col min="2" max="2" width="15" style="1" customWidth="1"/>
    <col min="3" max="5" width="18" style="1" customWidth="1"/>
    <col min="6" max="6" width="12.44140625" style="1" customWidth="1"/>
    <col min="7" max="7" width="18" style="1" customWidth="1"/>
    <col min="8" max="8" width="12.44140625" style="1" customWidth="1"/>
    <col min="9" max="9" width="18" style="1" customWidth="1"/>
    <col min="10" max="10" width="12.44140625" style="1" customWidth="1"/>
    <col min="11" max="11" width="7" style="1" customWidth="1"/>
    <col min="12" max="12" width="12.44140625" style="1" customWidth="1"/>
    <col min="13" max="13" width="18" style="1" customWidth="1"/>
    <col min="14" max="14" width="12.44140625" style="1" customWidth="1"/>
    <col min="15" max="256" width="8.77734375" style="1" customWidth="1"/>
  </cols>
  <sheetData>
    <row r="1" spans="1:41" ht="1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10"/>
      <c r="AM1" s="2"/>
      <c r="AN1" s="2"/>
      <c r="AO1" s="3"/>
    </row>
    <row r="2" spans="1:41" ht="27" customHeight="1">
      <c r="A2" s="9"/>
      <c r="B2" s="9"/>
      <c r="C2" s="11" t="s">
        <v>24</v>
      </c>
      <c r="D2" s="11" t="s">
        <v>25</v>
      </c>
      <c r="E2" s="11" t="s">
        <v>26</v>
      </c>
      <c r="F2" s="11" t="s">
        <v>25</v>
      </c>
      <c r="G2" s="11" t="s">
        <v>27</v>
      </c>
      <c r="H2" s="11" t="s">
        <v>25</v>
      </c>
      <c r="I2" s="11" t="s">
        <v>28</v>
      </c>
      <c r="J2" s="11" t="s">
        <v>25</v>
      </c>
      <c r="K2" s="11" t="s">
        <v>29</v>
      </c>
      <c r="L2" s="11" t="s">
        <v>25</v>
      </c>
      <c r="M2" s="11" t="s">
        <v>30</v>
      </c>
      <c r="N2" s="11" t="s">
        <v>25</v>
      </c>
      <c r="O2" s="9"/>
      <c r="P2" s="9"/>
      <c r="Q2" s="12"/>
      <c r="R2" s="12"/>
      <c r="S2" s="277" t="s">
        <v>31</v>
      </c>
      <c r="T2" s="278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13"/>
      <c r="AM2" s="4"/>
      <c r="AN2" s="4"/>
      <c r="AO2" s="5"/>
    </row>
    <row r="3" spans="1:41" ht="15" customHeight="1">
      <c r="A3" s="11" t="s">
        <v>7</v>
      </c>
      <c r="B3" s="14"/>
      <c r="C3" s="15">
        <v>20</v>
      </c>
      <c r="D3" s="15">
        <f>5000/C3</f>
        <v>250</v>
      </c>
      <c r="E3" s="15">
        <v>20</v>
      </c>
      <c r="F3" s="15">
        <f>5000/E3</f>
        <v>250</v>
      </c>
      <c r="G3" s="15">
        <v>20</v>
      </c>
      <c r="H3" s="15">
        <f>5000/G3</f>
        <v>250</v>
      </c>
      <c r="I3" s="15">
        <v>20</v>
      </c>
      <c r="J3" s="15">
        <f>5000/I3</f>
        <v>250</v>
      </c>
      <c r="K3" s="15">
        <v>20</v>
      </c>
      <c r="L3" s="15">
        <f>5000/K3</f>
        <v>250</v>
      </c>
      <c r="M3" s="15">
        <v>25</v>
      </c>
      <c r="N3" s="15">
        <f>5000/M3</f>
        <v>200</v>
      </c>
      <c r="O3" s="9"/>
      <c r="P3" s="9"/>
      <c r="Q3" s="16">
        <f>'Cost per dose'!AA10</f>
        <v>44111</v>
      </c>
      <c r="R3" s="9"/>
      <c r="S3" s="279">
        <f>'Cost per dose'!L10*7</f>
        <v>133</v>
      </c>
      <c r="T3" s="280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13"/>
      <c r="AM3" s="4"/>
      <c r="AN3" s="4"/>
      <c r="AO3" s="5"/>
    </row>
    <row r="4" spans="1:41" ht="15" customHeight="1">
      <c r="A4" s="11" t="s">
        <v>32</v>
      </c>
      <c r="B4" s="9"/>
      <c r="C4" s="15">
        <v>24</v>
      </c>
      <c r="D4" s="15">
        <f t="shared" ref="D4:F6" si="0">5000/C4</f>
        <v>208.33333333333334</v>
      </c>
      <c r="E4" s="15">
        <v>25</v>
      </c>
      <c r="F4" s="15">
        <f t="shared" si="0"/>
        <v>200</v>
      </c>
      <c r="G4" s="15">
        <v>24</v>
      </c>
      <c r="H4" s="15">
        <f t="shared" ref="H4:J4" si="1">5000/G4</f>
        <v>208.33333333333334</v>
      </c>
      <c r="I4" s="15">
        <v>30</v>
      </c>
      <c r="J4" s="15">
        <f t="shared" si="1"/>
        <v>166.66666666666666</v>
      </c>
      <c r="K4" s="15">
        <v>30</v>
      </c>
      <c r="L4" s="15">
        <f t="shared" ref="L4:N4" si="2">5000/K4</f>
        <v>166.66666666666666</v>
      </c>
      <c r="M4" s="15">
        <v>40</v>
      </c>
      <c r="N4" s="15">
        <f t="shared" si="2"/>
        <v>125</v>
      </c>
      <c r="O4" s="9"/>
      <c r="P4" s="9"/>
      <c r="Q4" s="18">
        <f>'Cost per dose'!AA11</f>
        <v>0</v>
      </c>
      <c r="R4" s="9"/>
      <c r="S4" s="17"/>
      <c r="T4" s="1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13"/>
      <c r="AM4" s="4"/>
      <c r="AN4" s="4"/>
      <c r="AO4" s="5"/>
    </row>
    <row r="5" spans="1:41" ht="15" customHeight="1">
      <c r="A5" s="11" t="s">
        <v>33</v>
      </c>
      <c r="B5" s="9"/>
      <c r="C5" s="15">
        <v>30</v>
      </c>
      <c r="D5" s="15">
        <f t="shared" si="0"/>
        <v>166.66666666666666</v>
      </c>
      <c r="E5" s="15">
        <v>30</v>
      </c>
      <c r="F5" s="15">
        <f t="shared" si="0"/>
        <v>166.66666666666666</v>
      </c>
      <c r="G5" s="15">
        <v>30</v>
      </c>
      <c r="H5" s="15">
        <f t="shared" ref="H5:J5" si="3">5000/G5</f>
        <v>166.66666666666666</v>
      </c>
      <c r="I5" s="15">
        <v>40</v>
      </c>
      <c r="J5" s="15">
        <f t="shared" si="3"/>
        <v>125</v>
      </c>
      <c r="K5" s="15">
        <v>40</v>
      </c>
      <c r="L5" s="15">
        <f t="shared" ref="L5:N5" si="4">5000/K5</f>
        <v>125</v>
      </c>
      <c r="M5" s="15">
        <v>40</v>
      </c>
      <c r="N5" s="15">
        <f t="shared" si="4"/>
        <v>125</v>
      </c>
      <c r="O5" s="9"/>
      <c r="P5" s="9"/>
      <c r="Q5" s="16">
        <f>'Cost per dose'!AA12</f>
        <v>44090</v>
      </c>
      <c r="R5" s="9"/>
      <c r="S5" s="279">
        <f>'Cost per dose'!L12*7</f>
        <v>112</v>
      </c>
      <c r="T5" s="280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13"/>
      <c r="AM5" s="4"/>
      <c r="AN5" s="4"/>
      <c r="AO5" s="5"/>
    </row>
    <row r="6" spans="1:41" ht="15" customHeight="1">
      <c r="A6" s="11" t="s">
        <v>34</v>
      </c>
      <c r="B6" s="9"/>
      <c r="C6" s="15">
        <v>36</v>
      </c>
      <c r="D6" s="15">
        <f t="shared" si="0"/>
        <v>138.88888888888889</v>
      </c>
      <c r="E6" s="15">
        <v>35</v>
      </c>
      <c r="F6" s="15">
        <f t="shared" si="0"/>
        <v>142.85714285714286</v>
      </c>
      <c r="G6" s="15">
        <v>36</v>
      </c>
      <c r="H6" s="15">
        <f t="shared" ref="H6:J6" si="5">5000/G6</f>
        <v>138.88888888888889</v>
      </c>
      <c r="I6" s="15">
        <v>40</v>
      </c>
      <c r="J6" s="15">
        <f t="shared" si="5"/>
        <v>125</v>
      </c>
      <c r="K6" s="15">
        <v>40</v>
      </c>
      <c r="L6" s="15">
        <f t="shared" ref="L6:N6" si="6">5000/K6</f>
        <v>125</v>
      </c>
      <c r="M6" s="15">
        <v>40</v>
      </c>
      <c r="N6" s="15">
        <f t="shared" si="6"/>
        <v>125</v>
      </c>
      <c r="O6" s="9"/>
      <c r="P6" s="9"/>
      <c r="Q6" s="18">
        <f>'Cost per dose'!AA13</f>
        <v>0</v>
      </c>
      <c r="R6" s="9"/>
      <c r="S6" s="17"/>
      <c r="T6" s="17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13"/>
      <c r="AM6" s="4"/>
      <c r="AN6" s="4"/>
      <c r="AO6" s="5"/>
    </row>
    <row r="7" spans="1:41" ht="1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6">
        <f>'Cost per dose'!AA14</f>
        <v>44034</v>
      </c>
      <c r="R7" s="9"/>
      <c r="S7" s="279">
        <f>'Cost per dose'!L14*7</f>
        <v>56</v>
      </c>
      <c r="T7" s="280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13"/>
      <c r="AM7" s="4"/>
      <c r="AN7" s="4"/>
      <c r="AO7" s="5"/>
    </row>
    <row r="8" spans="1:41" ht="15" customHeight="1">
      <c r="A8" s="11" t="s">
        <v>35</v>
      </c>
      <c r="B8" s="9"/>
      <c r="C8" s="9"/>
      <c r="D8" s="227" t="s">
        <v>91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8"/>
      <c r="R8" s="9"/>
      <c r="S8" s="17"/>
      <c r="T8" s="17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13"/>
      <c r="AM8" s="4"/>
      <c r="AN8" s="4"/>
      <c r="AO8" s="5"/>
    </row>
    <row r="9" spans="1:41" ht="15" customHeight="1">
      <c r="A9" s="11" t="s">
        <v>7</v>
      </c>
      <c r="B9" s="9"/>
      <c r="C9" s="9"/>
      <c r="D9" s="19">
        <f>'Cost per dose'!$E$10/D3</f>
        <v>1</v>
      </c>
      <c r="E9" s="11" t="str">
        <f>D9&amp;D8</f>
        <v>1c</v>
      </c>
      <c r="F9" s="20">
        <f>'Cost per dose'!$E$12/F3</f>
        <v>0.96799999999999997</v>
      </c>
      <c r="G9" s="9"/>
      <c r="H9" s="20">
        <f>'Cost per dose'!$E$14/H3</f>
        <v>0.68</v>
      </c>
      <c r="I9" s="9"/>
      <c r="J9" s="20">
        <f>'Cost per dose'!$E$16/J3</f>
        <v>0.32800000000000001</v>
      </c>
      <c r="K9" s="9"/>
      <c r="L9" s="20">
        <f>'Cost per dose'!$E$18/L3</f>
        <v>0.32</v>
      </c>
      <c r="M9" s="9"/>
      <c r="N9" s="20" t="e">
        <f>'Cost per dose'!#REF!/N3</f>
        <v>#REF!</v>
      </c>
      <c r="O9" s="9"/>
      <c r="P9" s="9"/>
      <c r="Q9" s="18"/>
      <c r="R9" s="9"/>
      <c r="S9" s="17"/>
      <c r="T9" s="17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13"/>
      <c r="AM9" s="4"/>
      <c r="AN9" s="4"/>
      <c r="AO9" s="5"/>
    </row>
    <row r="10" spans="1:41" ht="15" customHeight="1">
      <c r="A10" s="11" t="s">
        <v>32</v>
      </c>
      <c r="B10" s="9"/>
      <c r="C10" s="9"/>
      <c r="D10" s="19">
        <f>'Cost per dose'!$E$10/D4</f>
        <v>1.2</v>
      </c>
      <c r="E10" s="9"/>
      <c r="F10" s="20">
        <f>'Cost per dose'!$E$12/F4</f>
        <v>1.21</v>
      </c>
      <c r="G10" s="9"/>
      <c r="H10" s="20">
        <f>'Cost per dose'!$E$14/H4</f>
        <v>0.81599999999999995</v>
      </c>
      <c r="I10" s="9"/>
      <c r="J10" s="20">
        <f>'Cost per dose'!$E$16/J4</f>
        <v>0.49200000000000005</v>
      </c>
      <c r="K10" s="9"/>
      <c r="L10" s="20">
        <f>'Cost per dose'!$E$18/L4</f>
        <v>0.48000000000000004</v>
      </c>
      <c r="M10" s="9"/>
      <c r="N10" s="20" t="e">
        <f>'Cost per dose'!#REF!/N4</f>
        <v>#REF!</v>
      </c>
      <c r="O10" s="9"/>
      <c r="P10" s="9"/>
      <c r="Q10" s="18"/>
      <c r="R10" s="9"/>
      <c r="S10" s="17"/>
      <c r="T10" s="17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13"/>
      <c r="AM10" s="4"/>
      <c r="AN10" s="4"/>
      <c r="AO10" s="5"/>
    </row>
    <row r="11" spans="1:41" ht="15" customHeight="1">
      <c r="A11" s="11" t="s">
        <v>33</v>
      </c>
      <c r="B11" s="9"/>
      <c r="C11" s="9"/>
      <c r="D11" s="19">
        <f>'Cost per dose'!$E$10/D5</f>
        <v>1.5</v>
      </c>
      <c r="E11" s="9"/>
      <c r="F11" s="20">
        <f>'Cost per dose'!$E$12/F5</f>
        <v>1.4520000000000002</v>
      </c>
      <c r="G11" s="9"/>
      <c r="H11" s="20">
        <f>'Cost per dose'!$E$14/H5</f>
        <v>1.02</v>
      </c>
      <c r="I11" s="9"/>
      <c r="J11" s="20">
        <f>'Cost per dose'!$E$16/J5</f>
        <v>0.65600000000000003</v>
      </c>
      <c r="K11" s="9"/>
      <c r="L11" s="20">
        <f>'Cost per dose'!$E$18/L5</f>
        <v>0.64</v>
      </c>
      <c r="M11" s="9"/>
      <c r="N11" s="20" t="e">
        <f>'Cost per dose'!#REF!/N5</f>
        <v>#REF!</v>
      </c>
      <c r="O11" s="9"/>
      <c r="P11" s="9"/>
      <c r="Q11" s="18"/>
      <c r="R11" s="9"/>
      <c r="S11" s="17"/>
      <c r="T11" s="17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13"/>
      <c r="AM11" s="4"/>
      <c r="AN11" s="4"/>
      <c r="AO11" s="5"/>
    </row>
    <row r="12" spans="1:41" ht="15" customHeight="1">
      <c r="A12" s="11" t="s">
        <v>34</v>
      </c>
      <c r="B12" s="9"/>
      <c r="C12" s="9"/>
      <c r="D12" s="19">
        <f>'Cost per dose'!$E$10/D6</f>
        <v>1.8</v>
      </c>
      <c r="E12" s="9"/>
      <c r="F12" s="20">
        <f>'Cost per dose'!$E$12/F6</f>
        <v>1.694</v>
      </c>
      <c r="G12" s="9"/>
      <c r="H12" s="20">
        <f>'Cost per dose'!$E$14/H6</f>
        <v>1.224</v>
      </c>
      <c r="I12" s="9"/>
      <c r="J12" s="20">
        <f>'Cost per dose'!$E$16/J6</f>
        <v>0.65600000000000003</v>
      </c>
      <c r="K12" s="9"/>
      <c r="L12" s="20">
        <f>'Cost per dose'!$E$18/L6</f>
        <v>0.64</v>
      </c>
      <c r="M12" s="9"/>
      <c r="N12" s="20" t="e">
        <f>'Cost per dose'!#REF!/N6</f>
        <v>#REF!</v>
      </c>
      <c r="O12" s="9"/>
      <c r="P12" s="9"/>
      <c r="Q12" s="18"/>
      <c r="R12" s="9"/>
      <c r="S12" s="17"/>
      <c r="T12" s="17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13"/>
      <c r="AM12" s="4"/>
      <c r="AN12" s="4"/>
      <c r="AO12" s="5"/>
    </row>
    <row r="13" spans="1:41" ht="1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18"/>
      <c r="R13" s="9"/>
      <c r="S13" s="17"/>
      <c r="T13" s="17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3"/>
      <c r="AM13" s="4"/>
      <c r="AN13" s="4"/>
      <c r="AO13" s="5"/>
    </row>
    <row r="14" spans="1:41" ht="1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8"/>
      <c r="R14" s="9"/>
      <c r="S14" s="17"/>
      <c r="T14" s="17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13"/>
      <c r="AM14" s="4"/>
      <c r="AN14" s="4"/>
      <c r="AO14" s="5"/>
    </row>
    <row r="15" spans="1:41" ht="15" customHeight="1">
      <c r="A15" s="9"/>
      <c r="B15" s="9"/>
      <c r="C15" s="11" t="s">
        <v>24</v>
      </c>
      <c r="D15" s="9"/>
      <c r="E15" s="11" t="s">
        <v>26</v>
      </c>
      <c r="F15" s="9"/>
      <c r="G15" s="11" t="s">
        <v>27</v>
      </c>
      <c r="H15" s="9"/>
      <c r="I15" s="11" t="s">
        <v>28</v>
      </c>
      <c r="J15" s="9"/>
      <c r="K15" s="11" t="s">
        <v>29</v>
      </c>
      <c r="L15" s="9"/>
      <c r="M15" s="11" t="s">
        <v>30</v>
      </c>
      <c r="N15" s="9"/>
      <c r="O15" s="9"/>
      <c r="P15" s="9"/>
      <c r="Q15" s="18">
        <f>'Cost per dose'!AA15</f>
        <v>0</v>
      </c>
      <c r="R15" s="9"/>
      <c r="S15" s="17"/>
      <c r="T15" s="17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13"/>
      <c r="AM15" s="4"/>
      <c r="AN15" s="4"/>
      <c r="AO15" s="5"/>
    </row>
    <row r="16" spans="1:41" ht="15" customHeight="1">
      <c r="A16" s="21">
        <v>43922</v>
      </c>
      <c r="B16" s="21">
        <f t="shared" ref="B16:B47" si="7">A16</f>
        <v>43922</v>
      </c>
      <c r="C16" s="22">
        <f t="shared" ref="C16:C47" si="8">A16+$S$3</f>
        <v>44055</v>
      </c>
      <c r="D16" s="22">
        <f t="shared" ref="D16:D47" si="9">C16</f>
        <v>44055</v>
      </c>
      <c r="E16" s="22">
        <f t="shared" ref="E16:E47" si="10">A16+$S$5</f>
        <v>44034</v>
      </c>
      <c r="F16" s="22">
        <f t="shared" ref="F16:F47" si="11">E16</f>
        <v>44034</v>
      </c>
      <c r="G16" s="22">
        <f t="shared" ref="G16:G47" si="12">A16+$S$7</f>
        <v>43978</v>
      </c>
      <c r="H16" s="22">
        <f t="shared" ref="H16:H47" si="13">G16</f>
        <v>43978</v>
      </c>
      <c r="I16" s="22">
        <f t="shared" ref="I16:I47" si="14">A16+$S$16</f>
        <v>43964</v>
      </c>
      <c r="J16" s="9"/>
      <c r="K16" s="22"/>
      <c r="L16" s="9"/>
      <c r="M16" s="22" t="e">
        <f t="shared" ref="M16:M47" si="15">A16+$S$20</f>
        <v>#REF!</v>
      </c>
      <c r="N16" s="9"/>
      <c r="O16" s="9"/>
      <c r="P16" s="9"/>
      <c r="Q16" s="16">
        <f>'Cost per dose'!AA16</f>
        <v>44020</v>
      </c>
      <c r="R16" s="9"/>
      <c r="S16" s="279">
        <f>'Cost per dose'!L16*7</f>
        <v>42</v>
      </c>
      <c r="T16" s="280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13"/>
      <c r="AM16" s="4"/>
      <c r="AN16" s="4"/>
      <c r="AO16" s="5"/>
    </row>
    <row r="17" spans="1:41" ht="15" customHeight="1">
      <c r="A17" s="16">
        <f t="shared" ref="A17:A48" si="16">A16+7</f>
        <v>43929</v>
      </c>
      <c r="B17" s="21">
        <f t="shared" si="7"/>
        <v>43929</v>
      </c>
      <c r="C17" s="22">
        <f t="shared" si="8"/>
        <v>44062</v>
      </c>
      <c r="D17" s="22">
        <f t="shared" si="9"/>
        <v>44062</v>
      </c>
      <c r="E17" s="22">
        <f t="shared" si="10"/>
        <v>44041</v>
      </c>
      <c r="F17" s="22">
        <f t="shared" si="11"/>
        <v>44041</v>
      </c>
      <c r="G17" s="22">
        <f t="shared" si="12"/>
        <v>43985</v>
      </c>
      <c r="H17" s="22">
        <f t="shared" si="13"/>
        <v>43985</v>
      </c>
      <c r="I17" s="22">
        <f t="shared" si="14"/>
        <v>43971</v>
      </c>
      <c r="J17" s="9"/>
      <c r="K17" s="23"/>
      <c r="L17" s="9"/>
      <c r="M17" s="22" t="e">
        <f t="shared" si="15"/>
        <v>#REF!</v>
      </c>
      <c r="N17" s="9"/>
      <c r="O17" s="9"/>
      <c r="P17" s="9"/>
      <c r="Q17" s="18" t="e">
        <f>'Cost per dose'!#REF!</f>
        <v>#REF!</v>
      </c>
      <c r="R17" s="9"/>
      <c r="S17" s="17"/>
      <c r="T17" s="17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13"/>
      <c r="AM17" s="4"/>
      <c r="AN17" s="4"/>
      <c r="AO17" s="5"/>
    </row>
    <row r="18" spans="1:41" ht="15" customHeight="1">
      <c r="A18" s="16">
        <f t="shared" si="16"/>
        <v>43936</v>
      </c>
      <c r="B18" s="21">
        <f t="shared" si="7"/>
        <v>43936</v>
      </c>
      <c r="C18" s="22">
        <f t="shared" si="8"/>
        <v>44069</v>
      </c>
      <c r="D18" s="22">
        <f t="shared" si="9"/>
        <v>44069</v>
      </c>
      <c r="E18" s="22">
        <f t="shared" si="10"/>
        <v>44048</v>
      </c>
      <c r="F18" s="22">
        <f t="shared" si="11"/>
        <v>44048</v>
      </c>
      <c r="G18" s="22">
        <f t="shared" si="12"/>
        <v>43992</v>
      </c>
      <c r="H18" s="22">
        <f t="shared" si="13"/>
        <v>43992</v>
      </c>
      <c r="I18" s="22">
        <f t="shared" si="14"/>
        <v>43978</v>
      </c>
      <c r="J18" s="9"/>
      <c r="K18" s="23"/>
      <c r="L18" s="9"/>
      <c r="M18" s="22" t="e">
        <f t="shared" si="15"/>
        <v>#REF!</v>
      </c>
      <c r="N18" s="9"/>
      <c r="O18" s="9"/>
      <c r="P18" s="9"/>
      <c r="Q18" s="16">
        <f>'Cost per dose'!AA18</f>
        <v>44020</v>
      </c>
      <c r="R18" s="9"/>
      <c r="S18" s="279">
        <f>'Cost per dose'!L18*7</f>
        <v>42</v>
      </c>
      <c r="T18" s="280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13"/>
      <c r="AM18" s="4"/>
      <c r="AN18" s="4"/>
      <c r="AO18" s="5"/>
    </row>
    <row r="19" spans="1:41" ht="15" customHeight="1">
      <c r="A19" s="16">
        <f t="shared" si="16"/>
        <v>43943</v>
      </c>
      <c r="B19" s="21">
        <f t="shared" si="7"/>
        <v>43943</v>
      </c>
      <c r="C19" s="22">
        <f t="shared" si="8"/>
        <v>44076</v>
      </c>
      <c r="D19" s="22">
        <f t="shared" si="9"/>
        <v>44076</v>
      </c>
      <c r="E19" s="22">
        <f t="shared" si="10"/>
        <v>44055</v>
      </c>
      <c r="F19" s="22">
        <f t="shared" si="11"/>
        <v>44055</v>
      </c>
      <c r="G19" s="22">
        <f t="shared" si="12"/>
        <v>43999</v>
      </c>
      <c r="H19" s="22">
        <f t="shared" si="13"/>
        <v>43999</v>
      </c>
      <c r="I19" s="22">
        <f t="shared" si="14"/>
        <v>43985</v>
      </c>
      <c r="J19" s="9"/>
      <c r="K19" s="23"/>
      <c r="L19" s="9"/>
      <c r="M19" s="22" t="e">
        <f t="shared" si="15"/>
        <v>#REF!</v>
      </c>
      <c r="N19" s="9"/>
      <c r="O19" s="9"/>
      <c r="P19" s="9"/>
      <c r="Q19" s="18"/>
      <c r="R19" s="9"/>
      <c r="S19" s="17"/>
      <c r="T19" s="17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13"/>
      <c r="AM19" s="4"/>
      <c r="AN19" s="4"/>
      <c r="AO19" s="5"/>
    </row>
    <row r="20" spans="1:41" ht="15" customHeight="1">
      <c r="A20" s="16">
        <f t="shared" si="16"/>
        <v>43950</v>
      </c>
      <c r="B20" s="21">
        <f t="shared" si="7"/>
        <v>43950</v>
      </c>
      <c r="C20" s="22">
        <f t="shared" si="8"/>
        <v>44083</v>
      </c>
      <c r="D20" s="22">
        <f t="shared" si="9"/>
        <v>44083</v>
      </c>
      <c r="E20" s="22">
        <f t="shared" si="10"/>
        <v>44062</v>
      </c>
      <c r="F20" s="22">
        <f t="shared" si="11"/>
        <v>44062</v>
      </c>
      <c r="G20" s="22">
        <f t="shared" si="12"/>
        <v>44006</v>
      </c>
      <c r="H20" s="22">
        <f t="shared" si="13"/>
        <v>44006</v>
      </c>
      <c r="I20" s="22">
        <f t="shared" si="14"/>
        <v>43992</v>
      </c>
      <c r="J20" s="9"/>
      <c r="K20" s="23"/>
      <c r="L20" s="9"/>
      <c r="M20" s="22" t="e">
        <f t="shared" si="15"/>
        <v>#REF!</v>
      </c>
      <c r="N20" s="9"/>
      <c r="O20" s="9"/>
      <c r="P20" s="9"/>
      <c r="Q20" s="16" t="e">
        <f>'Cost per dose'!#REF!</f>
        <v>#REF!</v>
      </c>
      <c r="R20" s="9"/>
      <c r="S20" s="279" t="e">
        <f>'Cost per dose'!#REF!*7</f>
        <v>#REF!</v>
      </c>
      <c r="T20" s="280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13"/>
      <c r="AM20" s="4"/>
      <c r="AN20" s="4"/>
      <c r="AO20" s="5"/>
    </row>
    <row r="21" spans="1:41" ht="15" customHeight="1">
      <c r="A21" s="16">
        <f t="shared" si="16"/>
        <v>43957</v>
      </c>
      <c r="B21" s="21">
        <f t="shared" si="7"/>
        <v>43957</v>
      </c>
      <c r="C21" s="22">
        <f t="shared" si="8"/>
        <v>44090</v>
      </c>
      <c r="D21" s="22">
        <f t="shared" si="9"/>
        <v>44090</v>
      </c>
      <c r="E21" s="22">
        <f t="shared" si="10"/>
        <v>44069</v>
      </c>
      <c r="F21" s="22">
        <f t="shared" si="11"/>
        <v>44069</v>
      </c>
      <c r="G21" s="22">
        <f t="shared" si="12"/>
        <v>44013</v>
      </c>
      <c r="H21" s="22">
        <f t="shared" si="13"/>
        <v>44013</v>
      </c>
      <c r="I21" s="22">
        <f t="shared" si="14"/>
        <v>43999</v>
      </c>
      <c r="J21" s="9"/>
      <c r="K21" s="23"/>
      <c r="L21" s="9"/>
      <c r="M21" s="22" t="e">
        <f t="shared" si="15"/>
        <v>#REF!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13"/>
      <c r="AM21" s="4"/>
      <c r="AN21" s="4"/>
      <c r="AO21" s="5"/>
    </row>
    <row r="22" spans="1:41" ht="15" customHeight="1">
      <c r="A22" s="16">
        <f t="shared" si="16"/>
        <v>43964</v>
      </c>
      <c r="B22" s="21">
        <f t="shared" si="7"/>
        <v>43964</v>
      </c>
      <c r="C22" s="22">
        <f t="shared" si="8"/>
        <v>44097</v>
      </c>
      <c r="D22" s="22">
        <f t="shared" si="9"/>
        <v>44097</v>
      </c>
      <c r="E22" s="22">
        <f t="shared" si="10"/>
        <v>44076</v>
      </c>
      <c r="F22" s="22">
        <f t="shared" si="11"/>
        <v>44076</v>
      </c>
      <c r="G22" s="22">
        <f t="shared" si="12"/>
        <v>44020</v>
      </c>
      <c r="H22" s="22">
        <f t="shared" si="13"/>
        <v>44020</v>
      </c>
      <c r="I22" s="22">
        <f t="shared" si="14"/>
        <v>44006</v>
      </c>
      <c r="J22" s="9"/>
      <c r="K22" s="23"/>
      <c r="L22" s="9"/>
      <c r="M22" s="22" t="e">
        <f t="shared" si="15"/>
        <v>#REF!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13"/>
      <c r="AM22" s="4"/>
      <c r="AN22" s="4"/>
      <c r="AO22" s="5"/>
    </row>
    <row r="23" spans="1:41" ht="15" customHeight="1">
      <c r="A23" s="16">
        <f t="shared" si="16"/>
        <v>43971</v>
      </c>
      <c r="B23" s="21">
        <f t="shared" si="7"/>
        <v>43971</v>
      </c>
      <c r="C23" s="22">
        <f t="shared" si="8"/>
        <v>44104</v>
      </c>
      <c r="D23" s="22">
        <f t="shared" si="9"/>
        <v>44104</v>
      </c>
      <c r="E23" s="22">
        <f t="shared" si="10"/>
        <v>44083</v>
      </c>
      <c r="F23" s="22">
        <f t="shared" si="11"/>
        <v>44083</v>
      </c>
      <c r="G23" s="22">
        <f t="shared" si="12"/>
        <v>44027</v>
      </c>
      <c r="H23" s="22">
        <f t="shared" si="13"/>
        <v>44027</v>
      </c>
      <c r="I23" s="22">
        <f t="shared" si="14"/>
        <v>44013</v>
      </c>
      <c r="J23" s="9"/>
      <c r="K23" s="23"/>
      <c r="L23" s="9"/>
      <c r="M23" s="22" t="e">
        <f t="shared" si="15"/>
        <v>#REF!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13"/>
      <c r="AM23" s="4"/>
      <c r="AN23" s="4"/>
      <c r="AO23" s="5"/>
    </row>
    <row r="24" spans="1:41" ht="15" customHeight="1">
      <c r="A24" s="16">
        <f t="shared" si="16"/>
        <v>43978</v>
      </c>
      <c r="B24" s="21">
        <f t="shared" si="7"/>
        <v>43978</v>
      </c>
      <c r="C24" s="22">
        <f t="shared" si="8"/>
        <v>44111</v>
      </c>
      <c r="D24" s="22">
        <f t="shared" si="9"/>
        <v>44111</v>
      </c>
      <c r="E24" s="22">
        <f t="shared" si="10"/>
        <v>44090</v>
      </c>
      <c r="F24" s="22">
        <f t="shared" si="11"/>
        <v>44090</v>
      </c>
      <c r="G24" s="22">
        <f t="shared" si="12"/>
        <v>44034</v>
      </c>
      <c r="H24" s="22">
        <f t="shared" si="13"/>
        <v>44034</v>
      </c>
      <c r="I24" s="22">
        <f t="shared" si="14"/>
        <v>44020</v>
      </c>
      <c r="J24" s="9"/>
      <c r="K24" s="23"/>
      <c r="L24" s="9"/>
      <c r="M24" s="22" t="e">
        <f t="shared" si="15"/>
        <v>#REF!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13"/>
      <c r="AM24" s="4"/>
      <c r="AN24" s="4"/>
      <c r="AO24" s="5"/>
    </row>
    <row r="25" spans="1:41" ht="15" customHeight="1">
      <c r="A25" s="16">
        <f t="shared" si="16"/>
        <v>43985</v>
      </c>
      <c r="B25" s="21">
        <f t="shared" si="7"/>
        <v>43985</v>
      </c>
      <c r="C25" s="22">
        <f t="shared" si="8"/>
        <v>44118</v>
      </c>
      <c r="D25" s="22">
        <f t="shared" si="9"/>
        <v>44118</v>
      </c>
      <c r="E25" s="22">
        <f t="shared" si="10"/>
        <v>44097</v>
      </c>
      <c r="F25" s="22">
        <f t="shared" si="11"/>
        <v>44097</v>
      </c>
      <c r="G25" s="22">
        <f t="shared" si="12"/>
        <v>44041</v>
      </c>
      <c r="H25" s="22">
        <f t="shared" si="13"/>
        <v>44041</v>
      </c>
      <c r="I25" s="22">
        <f t="shared" si="14"/>
        <v>44027</v>
      </c>
      <c r="J25" s="9"/>
      <c r="K25" s="23"/>
      <c r="L25" s="9"/>
      <c r="M25" s="22" t="e">
        <f t="shared" si="15"/>
        <v>#REF!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13"/>
      <c r="AM25" s="4"/>
      <c r="AN25" s="4"/>
      <c r="AO25" s="5"/>
    </row>
    <row r="26" spans="1:41" ht="15" customHeight="1">
      <c r="A26" s="16">
        <f t="shared" si="16"/>
        <v>43992</v>
      </c>
      <c r="B26" s="21">
        <f t="shared" si="7"/>
        <v>43992</v>
      </c>
      <c r="C26" s="22">
        <f t="shared" si="8"/>
        <v>44125</v>
      </c>
      <c r="D26" s="22">
        <f t="shared" si="9"/>
        <v>44125</v>
      </c>
      <c r="E26" s="22">
        <f t="shared" si="10"/>
        <v>44104</v>
      </c>
      <c r="F26" s="22">
        <f t="shared" si="11"/>
        <v>44104</v>
      </c>
      <c r="G26" s="22">
        <f t="shared" si="12"/>
        <v>44048</v>
      </c>
      <c r="H26" s="22">
        <f t="shared" si="13"/>
        <v>44048</v>
      </c>
      <c r="I26" s="22">
        <f t="shared" si="14"/>
        <v>44034</v>
      </c>
      <c r="J26" s="9"/>
      <c r="K26" s="23"/>
      <c r="L26" s="9"/>
      <c r="M26" s="22" t="e">
        <f t="shared" si="15"/>
        <v>#REF!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3"/>
      <c r="AM26" s="4"/>
      <c r="AN26" s="4"/>
      <c r="AO26" s="5"/>
    </row>
    <row r="27" spans="1:41" ht="15" customHeight="1">
      <c r="A27" s="16">
        <f t="shared" si="16"/>
        <v>43999</v>
      </c>
      <c r="B27" s="21">
        <f t="shared" si="7"/>
        <v>43999</v>
      </c>
      <c r="C27" s="22">
        <f t="shared" si="8"/>
        <v>44132</v>
      </c>
      <c r="D27" s="22">
        <f t="shared" si="9"/>
        <v>44132</v>
      </c>
      <c r="E27" s="22">
        <f t="shared" si="10"/>
        <v>44111</v>
      </c>
      <c r="F27" s="22">
        <f t="shared" si="11"/>
        <v>44111</v>
      </c>
      <c r="G27" s="22">
        <f t="shared" si="12"/>
        <v>44055</v>
      </c>
      <c r="H27" s="22">
        <f t="shared" si="13"/>
        <v>44055</v>
      </c>
      <c r="I27" s="22">
        <f t="shared" si="14"/>
        <v>44041</v>
      </c>
      <c r="J27" s="9"/>
      <c r="K27" s="23"/>
      <c r="L27" s="9"/>
      <c r="M27" s="22" t="e">
        <f t="shared" si="15"/>
        <v>#REF!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13"/>
      <c r="AM27" s="4"/>
      <c r="AN27" s="4"/>
      <c r="AO27" s="5"/>
    </row>
    <row r="28" spans="1:41" ht="15" customHeight="1">
      <c r="A28" s="16">
        <f t="shared" si="16"/>
        <v>44006</v>
      </c>
      <c r="B28" s="21">
        <f t="shared" si="7"/>
        <v>44006</v>
      </c>
      <c r="C28" s="22">
        <f t="shared" si="8"/>
        <v>44139</v>
      </c>
      <c r="D28" s="22">
        <f t="shared" si="9"/>
        <v>44139</v>
      </c>
      <c r="E28" s="22">
        <f t="shared" si="10"/>
        <v>44118</v>
      </c>
      <c r="F28" s="22">
        <f t="shared" si="11"/>
        <v>44118</v>
      </c>
      <c r="G28" s="22">
        <f t="shared" si="12"/>
        <v>44062</v>
      </c>
      <c r="H28" s="22">
        <f t="shared" si="13"/>
        <v>44062</v>
      </c>
      <c r="I28" s="22">
        <f t="shared" si="14"/>
        <v>44048</v>
      </c>
      <c r="J28" s="9"/>
      <c r="K28" s="23"/>
      <c r="L28" s="9"/>
      <c r="M28" s="22" t="e">
        <f t="shared" si="15"/>
        <v>#REF!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13"/>
      <c r="AM28" s="4"/>
      <c r="AN28" s="4"/>
      <c r="AO28" s="5"/>
    </row>
    <row r="29" spans="1:41" ht="15" customHeight="1">
      <c r="A29" s="16">
        <f t="shared" si="16"/>
        <v>44013</v>
      </c>
      <c r="B29" s="21">
        <f t="shared" si="7"/>
        <v>44013</v>
      </c>
      <c r="C29" s="22">
        <f t="shared" si="8"/>
        <v>44146</v>
      </c>
      <c r="D29" s="22">
        <f t="shared" si="9"/>
        <v>44146</v>
      </c>
      <c r="E29" s="22">
        <f t="shared" si="10"/>
        <v>44125</v>
      </c>
      <c r="F29" s="22">
        <f t="shared" si="11"/>
        <v>44125</v>
      </c>
      <c r="G29" s="22">
        <f t="shared" si="12"/>
        <v>44069</v>
      </c>
      <c r="H29" s="22">
        <f t="shared" si="13"/>
        <v>44069</v>
      </c>
      <c r="I29" s="22">
        <f t="shared" si="14"/>
        <v>44055</v>
      </c>
      <c r="J29" s="9"/>
      <c r="K29" s="23"/>
      <c r="L29" s="9"/>
      <c r="M29" s="22" t="e">
        <f t="shared" si="15"/>
        <v>#REF!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13"/>
      <c r="AM29" s="4"/>
      <c r="AN29" s="4"/>
      <c r="AO29" s="5"/>
    </row>
    <row r="30" spans="1:41" ht="15" customHeight="1">
      <c r="A30" s="16">
        <f t="shared" si="16"/>
        <v>44020</v>
      </c>
      <c r="B30" s="21">
        <f t="shared" si="7"/>
        <v>44020</v>
      </c>
      <c r="C30" s="22">
        <f t="shared" si="8"/>
        <v>44153</v>
      </c>
      <c r="D30" s="22">
        <f t="shared" si="9"/>
        <v>44153</v>
      </c>
      <c r="E30" s="22">
        <f t="shared" si="10"/>
        <v>44132</v>
      </c>
      <c r="F30" s="22">
        <f t="shared" si="11"/>
        <v>44132</v>
      </c>
      <c r="G30" s="22">
        <f t="shared" si="12"/>
        <v>44076</v>
      </c>
      <c r="H30" s="22">
        <f t="shared" si="13"/>
        <v>44076</v>
      </c>
      <c r="I30" s="22">
        <f t="shared" si="14"/>
        <v>44062</v>
      </c>
      <c r="J30" s="9"/>
      <c r="K30" s="23"/>
      <c r="L30" s="9"/>
      <c r="M30" s="22" t="e">
        <f t="shared" si="15"/>
        <v>#REF!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13"/>
      <c r="AM30" s="4"/>
      <c r="AN30" s="4"/>
      <c r="AO30" s="5"/>
    </row>
    <row r="31" spans="1:41" ht="15" customHeight="1">
      <c r="A31" s="16">
        <f t="shared" si="16"/>
        <v>44027</v>
      </c>
      <c r="B31" s="21">
        <f t="shared" si="7"/>
        <v>44027</v>
      </c>
      <c r="C31" s="22">
        <f t="shared" si="8"/>
        <v>44160</v>
      </c>
      <c r="D31" s="22">
        <f t="shared" si="9"/>
        <v>44160</v>
      </c>
      <c r="E31" s="22">
        <f t="shared" si="10"/>
        <v>44139</v>
      </c>
      <c r="F31" s="22">
        <f t="shared" si="11"/>
        <v>44139</v>
      </c>
      <c r="G31" s="22">
        <f t="shared" si="12"/>
        <v>44083</v>
      </c>
      <c r="H31" s="22">
        <f t="shared" si="13"/>
        <v>44083</v>
      </c>
      <c r="I31" s="22">
        <f t="shared" si="14"/>
        <v>44069</v>
      </c>
      <c r="J31" s="9"/>
      <c r="K31" s="23"/>
      <c r="L31" s="9"/>
      <c r="M31" s="22" t="e">
        <f t="shared" si="15"/>
        <v>#REF!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13"/>
      <c r="AM31" s="4"/>
      <c r="AN31" s="4"/>
      <c r="AO31" s="5"/>
    </row>
    <row r="32" spans="1:41" ht="15" customHeight="1">
      <c r="A32" s="16">
        <f t="shared" si="16"/>
        <v>44034</v>
      </c>
      <c r="B32" s="21">
        <f t="shared" si="7"/>
        <v>44034</v>
      </c>
      <c r="C32" s="22">
        <f t="shared" si="8"/>
        <v>44167</v>
      </c>
      <c r="D32" s="22">
        <f t="shared" si="9"/>
        <v>44167</v>
      </c>
      <c r="E32" s="22">
        <f t="shared" si="10"/>
        <v>44146</v>
      </c>
      <c r="F32" s="22">
        <f t="shared" si="11"/>
        <v>44146</v>
      </c>
      <c r="G32" s="22">
        <f t="shared" si="12"/>
        <v>44090</v>
      </c>
      <c r="H32" s="22">
        <f t="shared" si="13"/>
        <v>44090</v>
      </c>
      <c r="I32" s="22">
        <f t="shared" si="14"/>
        <v>44076</v>
      </c>
      <c r="J32" s="9"/>
      <c r="K32" s="23"/>
      <c r="L32" s="9"/>
      <c r="M32" s="22" t="e">
        <f t="shared" si="15"/>
        <v>#REF!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13"/>
      <c r="AM32" s="4"/>
      <c r="AN32" s="4"/>
      <c r="AO32" s="5"/>
    </row>
    <row r="33" spans="1:41" ht="15" customHeight="1">
      <c r="A33" s="16">
        <f t="shared" si="16"/>
        <v>44041</v>
      </c>
      <c r="B33" s="21">
        <f t="shared" si="7"/>
        <v>44041</v>
      </c>
      <c r="C33" s="22">
        <f t="shared" si="8"/>
        <v>44174</v>
      </c>
      <c r="D33" s="22">
        <f t="shared" si="9"/>
        <v>44174</v>
      </c>
      <c r="E33" s="22">
        <f t="shared" si="10"/>
        <v>44153</v>
      </c>
      <c r="F33" s="22">
        <f t="shared" si="11"/>
        <v>44153</v>
      </c>
      <c r="G33" s="22">
        <f t="shared" si="12"/>
        <v>44097</v>
      </c>
      <c r="H33" s="22">
        <f t="shared" si="13"/>
        <v>44097</v>
      </c>
      <c r="I33" s="22">
        <f t="shared" si="14"/>
        <v>44083</v>
      </c>
      <c r="J33" s="9"/>
      <c r="K33" s="23"/>
      <c r="L33" s="9"/>
      <c r="M33" s="22" t="e">
        <f t="shared" si="15"/>
        <v>#REF!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13"/>
      <c r="AM33" s="4"/>
      <c r="AN33" s="4"/>
      <c r="AO33" s="5"/>
    </row>
    <row r="34" spans="1:41" ht="15" customHeight="1">
      <c r="A34" s="16">
        <f t="shared" si="16"/>
        <v>44048</v>
      </c>
      <c r="B34" s="21">
        <f t="shared" si="7"/>
        <v>44048</v>
      </c>
      <c r="C34" s="22">
        <f t="shared" si="8"/>
        <v>44181</v>
      </c>
      <c r="D34" s="22">
        <f t="shared" si="9"/>
        <v>44181</v>
      </c>
      <c r="E34" s="22">
        <f t="shared" si="10"/>
        <v>44160</v>
      </c>
      <c r="F34" s="22">
        <f t="shared" si="11"/>
        <v>44160</v>
      </c>
      <c r="G34" s="22">
        <f t="shared" si="12"/>
        <v>44104</v>
      </c>
      <c r="H34" s="22">
        <f t="shared" si="13"/>
        <v>44104</v>
      </c>
      <c r="I34" s="22">
        <f t="shared" si="14"/>
        <v>44090</v>
      </c>
      <c r="J34" s="9"/>
      <c r="K34" s="23"/>
      <c r="L34" s="9"/>
      <c r="M34" s="22" t="e">
        <f t="shared" si="15"/>
        <v>#REF!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13"/>
      <c r="AM34" s="4"/>
      <c r="AN34" s="4"/>
      <c r="AO34" s="5"/>
    </row>
    <row r="35" spans="1:41" ht="15" customHeight="1">
      <c r="A35" s="16">
        <f t="shared" si="16"/>
        <v>44055</v>
      </c>
      <c r="B35" s="21">
        <f t="shared" si="7"/>
        <v>44055</v>
      </c>
      <c r="C35" s="22">
        <f t="shared" si="8"/>
        <v>44188</v>
      </c>
      <c r="D35" s="22">
        <f t="shared" si="9"/>
        <v>44188</v>
      </c>
      <c r="E35" s="22">
        <f t="shared" si="10"/>
        <v>44167</v>
      </c>
      <c r="F35" s="22">
        <f t="shared" si="11"/>
        <v>44167</v>
      </c>
      <c r="G35" s="22">
        <f t="shared" si="12"/>
        <v>44111</v>
      </c>
      <c r="H35" s="22">
        <f t="shared" si="13"/>
        <v>44111</v>
      </c>
      <c r="I35" s="22">
        <f t="shared" si="14"/>
        <v>44097</v>
      </c>
      <c r="J35" s="9"/>
      <c r="K35" s="23"/>
      <c r="L35" s="9"/>
      <c r="M35" s="22" t="e">
        <f t="shared" si="15"/>
        <v>#REF!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13"/>
      <c r="AM35" s="4"/>
      <c r="AN35" s="4"/>
      <c r="AO35" s="5"/>
    </row>
    <row r="36" spans="1:41" ht="15" customHeight="1">
      <c r="A36" s="16">
        <f t="shared" si="16"/>
        <v>44062</v>
      </c>
      <c r="B36" s="21">
        <f t="shared" si="7"/>
        <v>44062</v>
      </c>
      <c r="C36" s="22">
        <f t="shared" si="8"/>
        <v>44195</v>
      </c>
      <c r="D36" s="22">
        <f t="shared" si="9"/>
        <v>44195</v>
      </c>
      <c r="E36" s="22">
        <f t="shared" si="10"/>
        <v>44174</v>
      </c>
      <c r="F36" s="22">
        <f t="shared" si="11"/>
        <v>44174</v>
      </c>
      <c r="G36" s="22">
        <f t="shared" si="12"/>
        <v>44118</v>
      </c>
      <c r="H36" s="22">
        <f t="shared" si="13"/>
        <v>44118</v>
      </c>
      <c r="I36" s="22">
        <f t="shared" si="14"/>
        <v>44104</v>
      </c>
      <c r="J36" s="9"/>
      <c r="K36" s="23"/>
      <c r="L36" s="9"/>
      <c r="M36" s="22" t="e">
        <f t="shared" si="15"/>
        <v>#REF!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13"/>
      <c r="AM36" s="4"/>
      <c r="AN36" s="4"/>
      <c r="AO36" s="5"/>
    </row>
    <row r="37" spans="1:41" ht="15" customHeight="1">
      <c r="A37" s="16">
        <f t="shared" si="16"/>
        <v>44069</v>
      </c>
      <c r="B37" s="21">
        <f t="shared" si="7"/>
        <v>44069</v>
      </c>
      <c r="C37" s="22">
        <f t="shared" si="8"/>
        <v>44202</v>
      </c>
      <c r="D37" s="22">
        <f t="shared" si="9"/>
        <v>44202</v>
      </c>
      <c r="E37" s="22">
        <f t="shared" si="10"/>
        <v>44181</v>
      </c>
      <c r="F37" s="22">
        <f t="shared" si="11"/>
        <v>44181</v>
      </c>
      <c r="G37" s="22">
        <f t="shared" si="12"/>
        <v>44125</v>
      </c>
      <c r="H37" s="22">
        <f t="shared" si="13"/>
        <v>44125</v>
      </c>
      <c r="I37" s="22">
        <f t="shared" si="14"/>
        <v>44111</v>
      </c>
      <c r="J37" s="9"/>
      <c r="K37" s="23"/>
      <c r="L37" s="9"/>
      <c r="M37" s="22" t="e">
        <f t="shared" si="15"/>
        <v>#REF!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13"/>
      <c r="AM37" s="4"/>
      <c r="AN37" s="4"/>
      <c r="AO37" s="5"/>
    </row>
    <row r="38" spans="1:41" ht="15" customHeight="1">
      <c r="A38" s="16">
        <f t="shared" si="16"/>
        <v>44076</v>
      </c>
      <c r="B38" s="21">
        <f t="shared" si="7"/>
        <v>44076</v>
      </c>
      <c r="C38" s="22">
        <f t="shared" si="8"/>
        <v>44209</v>
      </c>
      <c r="D38" s="22">
        <f t="shared" si="9"/>
        <v>44209</v>
      </c>
      <c r="E38" s="22">
        <f t="shared" si="10"/>
        <v>44188</v>
      </c>
      <c r="F38" s="22">
        <f t="shared" si="11"/>
        <v>44188</v>
      </c>
      <c r="G38" s="22">
        <f t="shared" si="12"/>
        <v>44132</v>
      </c>
      <c r="H38" s="22">
        <f t="shared" si="13"/>
        <v>44132</v>
      </c>
      <c r="I38" s="22">
        <f t="shared" si="14"/>
        <v>44118</v>
      </c>
      <c r="J38" s="9"/>
      <c r="K38" s="23"/>
      <c r="L38" s="9"/>
      <c r="M38" s="22" t="e">
        <f t="shared" si="15"/>
        <v>#REF!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13"/>
      <c r="AM38" s="4"/>
      <c r="AN38" s="4"/>
      <c r="AO38" s="5"/>
    </row>
    <row r="39" spans="1:41" ht="15" customHeight="1">
      <c r="A39" s="16">
        <f t="shared" si="16"/>
        <v>44083</v>
      </c>
      <c r="B39" s="21">
        <f t="shared" si="7"/>
        <v>44083</v>
      </c>
      <c r="C39" s="22">
        <f t="shared" si="8"/>
        <v>44216</v>
      </c>
      <c r="D39" s="22">
        <f t="shared" si="9"/>
        <v>44216</v>
      </c>
      <c r="E39" s="22">
        <f t="shared" si="10"/>
        <v>44195</v>
      </c>
      <c r="F39" s="22">
        <f t="shared" si="11"/>
        <v>44195</v>
      </c>
      <c r="G39" s="22">
        <f t="shared" si="12"/>
        <v>44139</v>
      </c>
      <c r="H39" s="22">
        <f t="shared" si="13"/>
        <v>44139</v>
      </c>
      <c r="I39" s="22">
        <f t="shared" si="14"/>
        <v>44125</v>
      </c>
      <c r="J39" s="9"/>
      <c r="K39" s="23"/>
      <c r="L39" s="9"/>
      <c r="M39" s="22" t="e">
        <f t="shared" si="15"/>
        <v>#REF!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13"/>
      <c r="AM39" s="4"/>
      <c r="AN39" s="4"/>
      <c r="AO39" s="5"/>
    </row>
    <row r="40" spans="1:41" ht="15" customHeight="1">
      <c r="A40" s="16">
        <f t="shared" si="16"/>
        <v>44090</v>
      </c>
      <c r="B40" s="21">
        <f t="shared" si="7"/>
        <v>44090</v>
      </c>
      <c r="C40" s="22">
        <f t="shared" si="8"/>
        <v>44223</v>
      </c>
      <c r="D40" s="22">
        <f t="shared" si="9"/>
        <v>44223</v>
      </c>
      <c r="E40" s="22">
        <f t="shared" si="10"/>
        <v>44202</v>
      </c>
      <c r="F40" s="22">
        <f t="shared" si="11"/>
        <v>44202</v>
      </c>
      <c r="G40" s="22">
        <f t="shared" si="12"/>
        <v>44146</v>
      </c>
      <c r="H40" s="22">
        <f t="shared" si="13"/>
        <v>44146</v>
      </c>
      <c r="I40" s="22">
        <f t="shared" si="14"/>
        <v>44132</v>
      </c>
      <c r="J40" s="9"/>
      <c r="K40" s="23"/>
      <c r="L40" s="9"/>
      <c r="M40" s="22" t="e">
        <f t="shared" si="15"/>
        <v>#REF!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13"/>
      <c r="AM40" s="4"/>
      <c r="AN40" s="4"/>
      <c r="AO40" s="5"/>
    </row>
    <row r="41" spans="1:41" ht="15" customHeight="1">
      <c r="A41" s="16">
        <f t="shared" si="16"/>
        <v>44097</v>
      </c>
      <c r="B41" s="21">
        <f t="shared" si="7"/>
        <v>44097</v>
      </c>
      <c r="C41" s="22">
        <f t="shared" si="8"/>
        <v>44230</v>
      </c>
      <c r="D41" s="22">
        <f t="shared" si="9"/>
        <v>44230</v>
      </c>
      <c r="E41" s="22">
        <f t="shared" si="10"/>
        <v>44209</v>
      </c>
      <c r="F41" s="22">
        <f t="shared" si="11"/>
        <v>44209</v>
      </c>
      <c r="G41" s="22">
        <f t="shared" si="12"/>
        <v>44153</v>
      </c>
      <c r="H41" s="22">
        <f t="shared" si="13"/>
        <v>44153</v>
      </c>
      <c r="I41" s="22">
        <f t="shared" si="14"/>
        <v>44139</v>
      </c>
      <c r="J41" s="9"/>
      <c r="K41" s="23"/>
      <c r="L41" s="9"/>
      <c r="M41" s="22" t="e">
        <f t="shared" si="15"/>
        <v>#REF!</v>
      </c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13"/>
      <c r="AM41" s="4"/>
      <c r="AN41" s="4"/>
      <c r="AO41" s="5"/>
    </row>
    <row r="42" spans="1:41" ht="15" customHeight="1">
      <c r="A42" s="16">
        <f t="shared" si="16"/>
        <v>44104</v>
      </c>
      <c r="B42" s="21">
        <f t="shared" si="7"/>
        <v>44104</v>
      </c>
      <c r="C42" s="22">
        <f t="shared" si="8"/>
        <v>44237</v>
      </c>
      <c r="D42" s="22">
        <f t="shared" si="9"/>
        <v>44237</v>
      </c>
      <c r="E42" s="22">
        <f t="shared" si="10"/>
        <v>44216</v>
      </c>
      <c r="F42" s="22">
        <f t="shared" si="11"/>
        <v>44216</v>
      </c>
      <c r="G42" s="22">
        <f t="shared" si="12"/>
        <v>44160</v>
      </c>
      <c r="H42" s="22">
        <f t="shared" si="13"/>
        <v>44160</v>
      </c>
      <c r="I42" s="22">
        <f t="shared" si="14"/>
        <v>44146</v>
      </c>
      <c r="J42" s="9"/>
      <c r="K42" s="23"/>
      <c r="L42" s="9"/>
      <c r="M42" s="22" t="e">
        <f t="shared" si="15"/>
        <v>#REF!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13"/>
      <c r="AM42" s="4"/>
      <c r="AN42" s="4"/>
      <c r="AO42" s="5"/>
    </row>
    <row r="43" spans="1:41" ht="15" customHeight="1">
      <c r="A43" s="16">
        <f t="shared" si="16"/>
        <v>44111</v>
      </c>
      <c r="B43" s="21">
        <f t="shared" si="7"/>
        <v>44111</v>
      </c>
      <c r="C43" s="22">
        <f t="shared" si="8"/>
        <v>44244</v>
      </c>
      <c r="D43" s="22">
        <f t="shared" si="9"/>
        <v>44244</v>
      </c>
      <c r="E43" s="22">
        <f t="shared" si="10"/>
        <v>44223</v>
      </c>
      <c r="F43" s="22">
        <f t="shared" si="11"/>
        <v>44223</v>
      </c>
      <c r="G43" s="22">
        <f t="shared" si="12"/>
        <v>44167</v>
      </c>
      <c r="H43" s="22">
        <f t="shared" si="13"/>
        <v>44167</v>
      </c>
      <c r="I43" s="22">
        <f t="shared" si="14"/>
        <v>44153</v>
      </c>
      <c r="J43" s="9"/>
      <c r="K43" s="23"/>
      <c r="L43" s="9"/>
      <c r="M43" s="22" t="e">
        <f t="shared" si="15"/>
        <v>#REF!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13"/>
      <c r="AM43" s="4"/>
      <c r="AN43" s="4"/>
      <c r="AO43" s="5"/>
    </row>
    <row r="44" spans="1:41" ht="15" customHeight="1">
      <c r="A44" s="16">
        <f t="shared" si="16"/>
        <v>44118</v>
      </c>
      <c r="B44" s="21">
        <f t="shared" si="7"/>
        <v>44118</v>
      </c>
      <c r="C44" s="22">
        <f t="shared" si="8"/>
        <v>44251</v>
      </c>
      <c r="D44" s="22">
        <f t="shared" si="9"/>
        <v>44251</v>
      </c>
      <c r="E44" s="22">
        <f t="shared" si="10"/>
        <v>44230</v>
      </c>
      <c r="F44" s="22">
        <f t="shared" si="11"/>
        <v>44230</v>
      </c>
      <c r="G44" s="22">
        <f t="shared" si="12"/>
        <v>44174</v>
      </c>
      <c r="H44" s="22">
        <f t="shared" si="13"/>
        <v>44174</v>
      </c>
      <c r="I44" s="22">
        <f t="shared" si="14"/>
        <v>44160</v>
      </c>
      <c r="J44" s="9"/>
      <c r="K44" s="23"/>
      <c r="L44" s="9"/>
      <c r="M44" s="22" t="e">
        <f t="shared" si="15"/>
        <v>#REF!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13"/>
      <c r="AM44" s="4"/>
      <c r="AN44" s="4"/>
      <c r="AO44" s="5"/>
    </row>
    <row r="45" spans="1:41" ht="15" customHeight="1">
      <c r="A45" s="16">
        <f t="shared" si="16"/>
        <v>44125</v>
      </c>
      <c r="B45" s="21">
        <f t="shared" si="7"/>
        <v>44125</v>
      </c>
      <c r="C45" s="22">
        <f t="shared" si="8"/>
        <v>44258</v>
      </c>
      <c r="D45" s="22">
        <f t="shared" si="9"/>
        <v>44258</v>
      </c>
      <c r="E45" s="22">
        <f t="shared" si="10"/>
        <v>44237</v>
      </c>
      <c r="F45" s="22">
        <f t="shared" si="11"/>
        <v>44237</v>
      </c>
      <c r="G45" s="22">
        <f t="shared" si="12"/>
        <v>44181</v>
      </c>
      <c r="H45" s="22">
        <f t="shared" si="13"/>
        <v>44181</v>
      </c>
      <c r="I45" s="22">
        <f t="shared" si="14"/>
        <v>44167</v>
      </c>
      <c r="J45" s="9"/>
      <c r="K45" s="23"/>
      <c r="L45" s="9"/>
      <c r="M45" s="22" t="e">
        <f t="shared" si="15"/>
        <v>#REF!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13"/>
      <c r="AM45" s="4"/>
      <c r="AN45" s="4"/>
      <c r="AO45" s="5"/>
    </row>
    <row r="46" spans="1:41" ht="15" customHeight="1">
      <c r="A46" s="16">
        <f t="shared" si="16"/>
        <v>44132</v>
      </c>
      <c r="B46" s="21">
        <f t="shared" si="7"/>
        <v>44132</v>
      </c>
      <c r="C46" s="22">
        <f t="shared" si="8"/>
        <v>44265</v>
      </c>
      <c r="D46" s="22">
        <f t="shared" si="9"/>
        <v>44265</v>
      </c>
      <c r="E46" s="22">
        <f t="shared" si="10"/>
        <v>44244</v>
      </c>
      <c r="F46" s="22">
        <f t="shared" si="11"/>
        <v>44244</v>
      </c>
      <c r="G46" s="22">
        <f t="shared" si="12"/>
        <v>44188</v>
      </c>
      <c r="H46" s="22">
        <f t="shared" si="13"/>
        <v>44188</v>
      </c>
      <c r="I46" s="22">
        <f t="shared" si="14"/>
        <v>44174</v>
      </c>
      <c r="J46" s="9"/>
      <c r="K46" s="23"/>
      <c r="L46" s="9"/>
      <c r="M46" s="22" t="e">
        <f t="shared" si="15"/>
        <v>#REF!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13"/>
      <c r="AM46" s="4"/>
      <c r="AN46" s="4"/>
      <c r="AO46" s="5"/>
    </row>
    <row r="47" spans="1:41" ht="15" customHeight="1">
      <c r="A47" s="16">
        <f t="shared" si="16"/>
        <v>44139</v>
      </c>
      <c r="B47" s="21">
        <f t="shared" si="7"/>
        <v>44139</v>
      </c>
      <c r="C47" s="22">
        <f t="shared" si="8"/>
        <v>44272</v>
      </c>
      <c r="D47" s="22">
        <f t="shared" si="9"/>
        <v>44272</v>
      </c>
      <c r="E47" s="22">
        <f t="shared" si="10"/>
        <v>44251</v>
      </c>
      <c r="F47" s="22">
        <f t="shared" si="11"/>
        <v>44251</v>
      </c>
      <c r="G47" s="22">
        <f t="shared" si="12"/>
        <v>44195</v>
      </c>
      <c r="H47" s="22">
        <f t="shared" si="13"/>
        <v>44195</v>
      </c>
      <c r="I47" s="22">
        <f t="shared" si="14"/>
        <v>44181</v>
      </c>
      <c r="J47" s="9"/>
      <c r="K47" s="23"/>
      <c r="L47" s="9"/>
      <c r="M47" s="22" t="e">
        <f t="shared" si="15"/>
        <v>#REF!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13"/>
      <c r="AM47" s="4"/>
      <c r="AN47" s="4"/>
      <c r="AO47" s="5"/>
    </row>
    <row r="48" spans="1:41" ht="15" customHeight="1">
      <c r="A48" s="16">
        <f t="shared" si="16"/>
        <v>44146</v>
      </c>
      <c r="B48" s="21">
        <f t="shared" ref="B48:B66" si="17">A48</f>
        <v>44146</v>
      </c>
      <c r="C48" s="22">
        <f t="shared" ref="C48:C66" si="18">A48+$S$3</f>
        <v>44279</v>
      </c>
      <c r="D48" s="22">
        <f t="shared" ref="D48:D66" si="19">C48</f>
        <v>44279</v>
      </c>
      <c r="E48" s="22">
        <f t="shared" ref="E48:E66" si="20">A48+$S$5</f>
        <v>44258</v>
      </c>
      <c r="F48" s="22">
        <f t="shared" ref="F48:F66" si="21">E48</f>
        <v>44258</v>
      </c>
      <c r="G48" s="22">
        <f t="shared" ref="G48:G66" si="22">A48+$S$7</f>
        <v>44202</v>
      </c>
      <c r="H48" s="22">
        <f t="shared" ref="H48:H66" si="23">G48</f>
        <v>44202</v>
      </c>
      <c r="I48" s="22">
        <f t="shared" ref="I48:I66" si="24">A48+$S$16</f>
        <v>44188</v>
      </c>
      <c r="J48" s="9"/>
      <c r="K48" s="23"/>
      <c r="L48" s="9"/>
      <c r="M48" s="22" t="e">
        <f t="shared" ref="M48:M66" si="25">A48+$S$20</f>
        <v>#REF!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13"/>
      <c r="AM48" s="4"/>
      <c r="AN48" s="4"/>
      <c r="AO48" s="5"/>
    </row>
    <row r="49" spans="1:41" ht="15" customHeight="1">
      <c r="A49" s="16">
        <f t="shared" ref="A49:A66" si="26">A48+7</f>
        <v>44153</v>
      </c>
      <c r="B49" s="21">
        <f t="shared" si="17"/>
        <v>44153</v>
      </c>
      <c r="C49" s="22">
        <f t="shared" si="18"/>
        <v>44286</v>
      </c>
      <c r="D49" s="22">
        <f t="shared" si="19"/>
        <v>44286</v>
      </c>
      <c r="E49" s="22">
        <f t="shared" si="20"/>
        <v>44265</v>
      </c>
      <c r="F49" s="22">
        <f t="shared" si="21"/>
        <v>44265</v>
      </c>
      <c r="G49" s="22">
        <f t="shared" si="22"/>
        <v>44209</v>
      </c>
      <c r="H49" s="22">
        <f t="shared" si="23"/>
        <v>44209</v>
      </c>
      <c r="I49" s="22">
        <f t="shared" si="24"/>
        <v>44195</v>
      </c>
      <c r="J49" s="9"/>
      <c r="K49" s="23"/>
      <c r="L49" s="9"/>
      <c r="M49" s="22" t="e">
        <f t="shared" si="25"/>
        <v>#REF!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13"/>
      <c r="AM49" s="4"/>
      <c r="AN49" s="4"/>
      <c r="AO49" s="5"/>
    </row>
    <row r="50" spans="1:41" ht="15" customHeight="1">
      <c r="A50" s="16">
        <f t="shared" si="26"/>
        <v>44160</v>
      </c>
      <c r="B50" s="21">
        <f t="shared" si="17"/>
        <v>44160</v>
      </c>
      <c r="C50" s="22">
        <f t="shared" si="18"/>
        <v>44293</v>
      </c>
      <c r="D50" s="22">
        <f t="shared" si="19"/>
        <v>44293</v>
      </c>
      <c r="E50" s="22">
        <f t="shared" si="20"/>
        <v>44272</v>
      </c>
      <c r="F50" s="22">
        <f t="shared" si="21"/>
        <v>44272</v>
      </c>
      <c r="G50" s="22">
        <f t="shared" si="22"/>
        <v>44216</v>
      </c>
      <c r="H50" s="22">
        <f t="shared" si="23"/>
        <v>44216</v>
      </c>
      <c r="I50" s="22">
        <f t="shared" si="24"/>
        <v>44202</v>
      </c>
      <c r="J50" s="9"/>
      <c r="K50" s="23"/>
      <c r="L50" s="9"/>
      <c r="M50" s="22" t="e">
        <f t="shared" si="25"/>
        <v>#REF!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13"/>
      <c r="AM50" s="4"/>
      <c r="AN50" s="4"/>
      <c r="AO50" s="5"/>
    </row>
    <row r="51" spans="1:41" ht="15" customHeight="1">
      <c r="A51" s="16">
        <f t="shared" si="26"/>
        <v>44167</v>
      </c>
      <c r="B51" s="21">
        <f t="shared" si="17"/>
        <v>44167</v>
      </c>
      <c r="C51" s="22">
        <f t="shared" si="18"/>
        <v>44300</v>
      </c>
      <c r="D51" s="22">
        <f t="shared" si="19"/>
        <v>44300</v>
      </c>
      <c r="E51" s="22">
        <f t="shared" si="20"/>
        <v>44279</v>
      </c>
      <c r="F51" s="22">
        <f t="shared" si="21"/>
        <v>44279</v>
      </c>
      <c r="G51" s="22">
        <f t="shared" si="22"/>
        <v>44223</v>
      </c>
      <c r="H51" s="22">
        <f t="shared" si="23"/>
        <v>44223</v>
      </c>
      <c r="I51" s="22">
        <f t="shared" si="24"/>
        <v>44209</v>
      </c>
      <c r="J51" s="9"/>
      <c r="K51" s="23"/>
      <c r="L51" s="9"/>
      <c r="M51" s="22" t="e">
        <f t="shared" si="25"/>
        <v>#REF!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13"/>
      <c r="AM51" s="4"/>
      <c r="AN51" s="4"/>
      <c r="AO51" s="5"/>
    </row>
    <row r="52" spans="1:41" ht="15" customHeight="1">
      <c r="A52" s="16">
        <f t="shared" si="26"/>
        <v>44174</v>
      </c>
      <c r="B52" s="21">
        <f t="shared" si="17"/>
        <v>44174</v>
      </c>
      <c r="C52" s="22">
        <f t="shared" si="18"/>
        <v>44307</v>
      </c>
      <c r="D52" s="22">
        <f t="shared" si="19"/>
        <v>44307</v>
      </c>
      <c r="E52" s="22">
        <f t="shared" si="20"/>
        <v>44286</v>
      </c>
      <c r="F52" s="22">
        <f t="shared" si="21"/>
        <v>44286</v>
      </c>
      <c r="G52" s="22">
        <f t="shared" si="22"/>
        <v>44230</v>
      </c>
      <c r="H52" s="22">
        <f t="shared" si="23"/>
        <v>44230</v>
      </c>
      <c r="I52" s="22">
        <f t="shared" si="24"/>
        <v>44216</v>
      </c>
      <c r="J52" s="9"/>
      <c r="K52" s="23"/>
      <c r="L52" s="9"/>
      <c r="M52" s="22" t="e">
        <f t="shared" si="25"/>
        <v>#REF!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13"/>
      <c r="AM52" s="4"/>
      <c r="AN52" s="4"/>
      <c r="AO52" s="5"/>
    </row>
    <row r="53" spans="1:41" ht="15" customHeight="1">
      <c r="A53" s="16">
        <f t="shared" si="26"/>
        <v>44181</v>
      </c>
      <c r="B53" s="21">
        <f t="shared" si="17"/>
        <v>44181</v>
      </c>
      <c r="C53" s="22">
        <f t="shared" si="18"/>
        <v>44314</v>
      </c>
      <c r="D53" s="22">
        <f t="shared" si="19"/>
        <v>44314</v>
      </c>
      <c r="E53" s="22">
        <f t="shared" si="20"/>
        <v>44293</v>
      </c>
      <c r="F53" s="22">
        <f t="shared" si="21"/>
        <v>44293</v>
      </c>
      <c r="G53" s="22">
        <f t="shared" si="22"/>
        <v>44237</v>
      </c>
      <c r="H53" s="22">
        <f t="shared" si="23"/>
        <v>44237</v>
      </c>
      <c r="I53" s="22">
        <f t="shared" si="24"/>
        <v>44223</v>
      </c>
      <c r="J53" s="9"/>
      <c r="K53" s="23"/>
      <c r="L53" s="9"/>
      <c r="M53" s="22" t="e">
        <f t="shared" si="25"/>
        <v>#REF!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13"/>
      <c r="AM53" s="4"/>
      <c r="AN53" s="4"/>
      <c r="AO53" s="5"/>
    </row>
    <row r="54" spans="1:41" ht="15" customHeight="1">
      <c r="A54" s="16">
        <f t="shared" si="26"/>
        <v>44188</v>
      </c>
      <c r="B54" s="21">
        <f t="shared" si="17"/>
        <v>44188</v>
      </c>
      <c r="C54" s="22">
        <f t="shared" si="18"/>
        <v>44321</v>
      </c>
      <c r="D54" s="22">
        <f t="shared" si="19"/>
        <v>44321</v>
      </c>
      <c r="E54" s="22">
        <f t="shared" si="20"/>
        <v>44300</v>
      </c>
      <c r="F54" s="22">
        <f t="shared" si="21"/>
        <v>44300</v>
      </c>
      <c r="G54" s="22">
        <f t="shared" si="22"/>
        <v>44244</v>
      </c>
      <c r="H54" s="22">
        <f t="shared" si="23"/>
        <v>44244</v>
      </c>
      <c r="I54" s="22">
        <f t="shared" si="24"/>
        <v>44230</v>
      </c>
      <c r="J54" s="9"/>
      <c r="K54" s="23"/>
      <c r="L54" s="9"/>
      <c r="M54" s="22" t="e">
        <f t="shared" si="25"/>
        <v>#REF!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13"/>
      <c r="AM54" s="4"/>
      <c r="AN54" s="4"/>
      <c r="AO54" s="5"/>
    </row>
    <row r="55" spans="1:41" ht="15" customHeight="1">
      <c r="A55" s="16">
        <f t="shared" si="26"/>
        <v>44195</v>
      </c>
      <c r="B55" s="21">
        <f t="shared" si="17"/>
        <v>44195</v>
      </c>
      <c r="C55" s="22">
        <f t="shared" si="18"/>
        <v>44328</v>
      </c>
      <c r="D55" s="22">
        <f t="shared" si="19"/>
        <v>44328</v>
      </c>
      <c r="E55" s="22">
        <f t="shared" si="20"/>
        <v>44307</v>
      </c>
      <c r="F55" s="22">
        <f t="shared" si="21"/>
        <v>44307</v>
      </c>
      <c r="G55" s="22">
        <f t="shared" si="22"/>
        <v>44251</v>
      </c>
      <c r="H55" s="22">
        <f t="shared" si="23"/>
        <v>44251</v>
      </c>
      <c r="I55" s="22">
        <f t="shared" si="24"/>
        <v>44237</v>
      </c>
      <c r="J55" s="9"/>
      <c r="K55" s="23"/>
      <c r="L55" s="9"/>
      <c r="M55" s="22" t="e">
        <f t="shared" si="25"/>
        <v>#REF!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13"/>
      <c r="AM55" s="4"/>
      <c r="AN55" s="4"/>
      <c r="AO55" s="5"/>
    </row>
    <row r="56" spans="1:41" ht="15" customHeight="1">
      <c r="A56" s="16">
        <f t="shared" si="26"/>
        <v>44202</v>
      </c>
      <c r="B56" s="21">
        <f t="shared" si="17"/>
        <v>44202</v>
      </c>
      <c r="C56" s="22">
        <f t="shared" si="18"/>
        <v>44335</v>
      </c>
      <c r="D56" s="22">
        <f t="shared" si="19"/>
        <v>44335</v>
      </c>
      <c r="E56" s="22">
        <f t="shared" si="20"/>
        <v>44314</v>
      </c>
      <c r="F56" s="22">
        <f t="shared" si="21"/>
        <v>44314</v>
      </c>
      <c r="G56" s="22">
        <f t="shared" si="22"/>
        <v>44258</v>
      </c>
      <c r="H56" s="22">
        <f t="shared" si="23"/>
        <v>44258</v>
      </c>
      <c r="I56" s="22">
        <f t="shared" si="24"/>
        <v>44244</v>
      </c>
      <c r="J56" s="9"/>
      <c r="K56" s="23"/>
      <c r="L56" s="9"/>
      <c r="M56" s="22" t="e">
        <f t="shared" si="25"/>
        <v>#REF!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3"/>
      <c r="AM56" s="4"/>
      <c r="AN56" s="4"/>
      <c r="AO56" s="5"/>
    </row>
    <row r="57" spans="1:41" ht="15" customHeight="1">
      <c r="A57" s="16">
        <f t="shared" si="26"/>
        <v>44209</v>
      </c>
      <c r="B57" s="21">
        <f t="shared" si="17"/>
        <v>44209</v>
      </c>
      <c r="C57" s="22">
        <f t="shared" si="18"/>
        <v>44342</v>
      </c>
      <c r="D57" s="22">
        <f t="shared" si="19"/>
        <v>44342</v>
      </c>
      <c r="E57" s="22">
        <f t="shared" si="20"/>
        <v>44321</v>
      </c>
      <c r="F57" s="22">
        <f t="shared" si="21"/>
        <v>44321</v>
      </c>
      <c r="G57" s="22">
        <f t="shared" si="22"/>
        <v>44265</v>
      </c>
      <c r="H57" s="22">
        <f t="shared" si="23"/>
        <v>44265</v>
      </c>
      <c r="I57" s="22">
        <f t="shared" si="24"/>
        <v>44251</v>
      </c>
      <c r="J57" s="9"/>
      <c r="K57" s="23"/>
      <c r="L57" s="9"/>
      <c r="M57" s="22" t="e">
        <f t="shared" si="25"/>
        <v>#REF!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13"/>
      <c r="AM57" s="4"/>
      <c r="AN57" s="4"/>
      <c r="AO57" s="5"/>
    </row>
    <row r="58" spans="1:41" ht="15" customHeight="1">
      <c r="A58" s="16">
        <f t="shared" si="26"/>
        <v>44216</v>
      </c>
      <c r="B58" s="21">
        <f t="shared" si="17"/>
        <v>44216</v>
      </c>
      <c r="C58" s="22">
        <f t="shared" si="18"/>
        <v>44349</v>
      </c>
      <c r="D58" s="22">
        <f t="shared" si="19"/>
        <v>44349</v>
      </c>
      <c r="E58" s="22">
        <f t="shared" si="20"/>
        <v>44328</v>
      </c>
      <c r="F58" s="22">
        <f t="shared" si="21"/>
        <v>44328</v>
      </c>
      <c r="G58" s="22">
        <f t="shared" si="22"/>
        <v>44272</v>
      </c>
      <c r="H58" s="22">
        <f t="shared" si="23"/>
        <v>44272</v>
      </c>
      <c r="I58" s="22">
        <f t="shared" si="24"/>
        <v>44258</v>
      </c>
      <c r="J58" s="9"/>
      <c r="K58" s="23"/>
      <c r="L58" s="9"/>
      <c r="M58" s="22" t="e">
        <f t="shared" si="25"/>
        <v>#REF!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13"/>
      <c r="AM58" s="4"/>
      <c r="AN58" s="4"/>
      <c r="AO58" s="5"/>
    </row>
    <row r="59" spans="1:41" ht="15" customHeight="1">
      <c r="A59" s="16">
        <f t="shared" si="26"/>
        <v>44223</v>
      </c>
      <c r="B59" s="21">
        <f t="shared" si="17"/>
        <v>44223</v>
      </c>
      <c r="C59" s="22">
        <f t="shared" si="18"/>
        <v>44356</v>
      </c>
      <c r="D59" s="22">
        <f t="shared" si="19"/>
        <v>44356</v>
      </c>
      <c r="E59" s="22">
        <f t="shared" si="20"/>
        <v>44335</v>
      </c>
      <c r="F59" s="22">
        <f t="shared" si="21"/>
        <v>44335</v>
      </c>
      <c r="G59" s="22">
        <f t="shared" si="22"/>
        <v>44279</v>
      </c>
      <c r="H59" s="22">
        <f t="shared" si="23"/>
        <v>44279</v>
      </c>
      <c r="I59" s="22">
        <f t="shared" si="24"/>
        <v>44265</v>
      </c>
      <c r="J59" s="9"/>
      <c r="K59" s="23"/>
      <c r="L59" s="9"/>
      <c r="M59" s="22" t="e">
        <f t="shared" si="25"/>
        <v>#REF!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13"/>
      <c r="AM59" s="4"/>
      <c r="AN59" s="4"/>
      <c r="AO59" s="5"/>
    </row>
    <row r="60" spans="1:41" ht="15" customHeight="1">
      <c r="A60" s="16">
        <f t="shared" si="26"/>
        <v>44230</v>
      </c>
      <c r="B60" s="21">
        <f t="shared" si="17"/>
        <v>44230</v>
      </c>
      <c r="C60" s="22">
        <f t="shared" si="18"/>
        <v>44363</v>
      </c>
      <c r="D60" s="22">
        <f t="shared" si="19"/>
        <v>44363</v>
      </c>
      <c r="E60" s="22">
        <f t="shared" si="20"/>
        <v>44342</v>
      </c>
      <c r="F60" s="22">
        <f t="shared" si="21"/>
        <v>44342</v>
      </c>
      <c r="G60" s="22">
        <f t="shared" si="22"/>
        <v>44286</v>
      </c>
      <c r="H60" s="22">
        <f t="shared" si="23"/>
        <v>44286</v>
      </c>
      <c r="I60" s="22">
        <f t="shared" si="24"/>
        <v>44272</v>
      </c>
      <c r="J60" s="9"/>
      <c r="K60" s="23"/>
      <c r="L60" s="9"/>
      <c r="M60" s="22" t="e">
        <f t="shared" si="25"/>
        <v>#REF!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13"/>
      <c r="AM60" s="4"/>
      <c r="AN60" s="4"/>
      <c r="AO60" s="5"/>
    </row>
    <row r="61" spans="1:41" ht="15" customHeight="1">
      <c r="A61" s="16">
        <f t="shared" si="26"/>
        <v>44237</v>
      </c>
      <c r="B61" s="21">
        <f t="shared" si="17"/>
        <v>44237</v>
      </c>
      <c r="C61" s="22">
        <f t="shared" si="18"/>
        <v>44370</v>
      </c>
      <c r="D61" s="22">
        <f t="shared" si="19"/>
        <v>44370</v>
      </c>
      <c r="E61" s="22">
        <f t="shared" si="20"/>
        <v>44349</v>
      </c>
      <c r="F61" s="22">
        <f t="shared" si="21"/>
        <v>44349</v>
      </c>
      <c r="G61" s="22">
        <f t="shared" si="22"/>
        <v>44293</v>
      </c>
      <c r="H61" s="22">
        <f t="shared" si="23"/>
        <v>44293</v>
      </c>
      <c r="I61" s="22">
        <f t="shared" si="24"/>
        <v>44279</v>
      </c>
      <c r="J61" s="9"/>
      <c r="K61" s="23"/>
      <c r="L61" s="9"/>
      <c r="M61" s="22" t="e">
        <f t="shared" si="25"/>
        <v>#REF!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13"/>
      <c r="AM61" s="4"/>
      <c r="AN61" s="4"/>
      <c r="AO61" s="5"/>
    </row>
    <row r="62" spans="1:41" ht="15" customHeight="1">
      <c r="A62" s="16">
        <f t="shared" si="26"/>
        <v>44244</v>
      </c>
      <c r="B62" s="21">
        <f t="shared" si="17"/>
        <v>44244</v>
      </c>
      <c r="C62" s="22">
        <f t="shared" si="18"/>
        <v>44377</v>
      </c>
      <c r="D62" s="22">
        <f t="shared" si="19"/>
        <v>44377</v>
      </c>
      <c r="E62" s="22">
        <f t="shared" si="20"/>
        <v>44356</v>
      </c>
      <c r="F62" s="22">
        <f t="shared" si="21"/>
        <v>44356</v>
      </c>
      <c r="G62" s="22">
        <f t="shared" si="22"/>
        <v>44300</v>
      </c>
      <c r="H62" s="22">
        <f t="shared" si="23"/>
        <v>44300</v>
      </c>
      <c r="I62" s="22">
        <f t="shared" si="24"/>
        <v>44286</v>
      </c>
      <c r="J62" s="9"/>
      <c r="K62" s="23"/>
      <c r="L62" s="9"/>
      <c r="M62" s="22" t="e">
        <f t="shared" si="25"/>
        <v>#REF!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13"/>
      <c r="AM62" s="4"/>
      <c r="AN62" s="4"/>
      <c r="AO62" s="5"/>
    </row>
    <row r="63" spans="1:41" ht="15" customHeight="1">
      <c r="A63" s="16">
        <f t="shared" si="26"/>
        <v>44251</v>
      </c>
      <c r="B63" s="21">
        <f t="shared" si="17"/>
        <v>44251</v>
      </c>
      <c r="C63" s="22">
        <f t="shared" si="18"/>
        <v>44384</v>
      </c>
      <c r="D63" s="22">
        <f t="shared" si="19"/>
        <v>44384</v>
      </c>
      <c r="E63" s="22">
        <f t="shared" si="20"/>
        <v>44363</v>
      </c>
      <c r="F63" s="22">
        <f t="shared" si="21"/>
        <v>44363</v>
      </c>
      <c r="G63" s="22">
        <f t="shared" si="22"/>
        <v>44307</v>
      </c>
      <c r="H63" s="22">
        <f t="shared" si="23"/>
        <v>44307</v>
      </c>
      <c r="I63" s="22">
        <f t="shared" si="24"/>
        <v>44293</v>
      </c>
      <c r="J63" s="9"/>
      <c r="K63" s="23"/>
      <c r="L63" s="9"/>
      <c r="M63" s="22" t="e">
        <f t="shared" si="25"/>
        <v>#REF!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13"/>
      <c r="AM63" s="4"/>
      <c r="AN63" s="4"/>
      <c r="AO63" s="5"/>
    </row>
    <row r="64" spans="1:41" ht="15" customHeight="1">
      <c r="A64" s="16">
        <f t="shared" si="26"/>
        <v>44258</v>
      </c>
      <c r="B64" s="21">
        <f t="shared" si="17"/>
        <v>44258</v>
      </c>
      <c r="C64" s="22">
        <f t="shared" si="18"/>
        <v>44391</v>
      </c>
      <c r="D64" s="22">
        <f t="shared" si="19"/>
        <v>44391</v>
      </c>
      <c r="E64" s="22">
        <f t="shared" si="20"/>
        <v>44370</v>
      </c>
      <c r="F64" s="22">
        <f t="shared" si="21"/>
        <v>44370</v>
      </c>
      <c r="G64" s="22">
        <f t="shared" si="22"/>
        <v>44314</v>
      </c>
      <c r="H64" s="22">
        <f t="shared" si="23"/>
        <v>44314</v>
      </c>
      <c r="I64" s="22">
        <f t="shared" si="24"/>
        <v>44300</v>
      </c>
      <c r="J64" s="9"/>
      <c r="K64" s="23"/>
      <c r="L64" s="9"/>
      <c r="M64" s="22" t="e">
        <f t="shared" si="25"/>
        <v>#REF!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13"/>
      <c r="AM64" s="4"/>
      <c r="AN64" s="4"/>
      <c r="AO64" s="5"/>
    </row>
    <row r="65" spans="1:41" ht="15" customHeight="1">
      <c r="A65" s="16">
        <f t="shared" si="26"/>
        <v>44265</v>
      </c>
      <c r="B65" s="21">
        <f t="shared" si="17"/>
        <v>44265</v>
      </c>
      <c r="C65" s="22">
        <f t="shared" si="18"/>
        <v>44398</v>
      </c>
      <c r="D65" s="22">
        <f t="shared" si="19"/>
        <v>44398</v>
      </c>
      <c r="E65" s="22">
        <f t="shared" si="20"/>
        <v>44377</v>
      </c>
      <c r="F65" s="22">
        <f t="shared" si="21"/>
        <v>44377</v>
      </c>
      <c r="G65" s="22">
        <f t="shared" si="22"/>
        <v>44321</v>
      </c>
      <c r="H65" s="22">
        <f t="shared" si="23"/>
        <v>44321</v>
      </c>
      <c r="I65" s="22">
        <f t="shared" si="24"/>
        <v>44307</v>
      </c>
      <c r="J65" s="9"/>
      <c r="K65" s="23"/>
      <c r="L65" s="9"/>
      <c r="M65" s="22" t="e">
        <f t="shared" si="25"/>
        <v>#REF!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13"/>
      <c r="AM65" s="4"/>
      <c r="AN65" s="4"/>
      <c r="AO65" s="5"/>
    </row>
    <row r="66" spans="1:41" ht="15" customHeight="1">
      <c r="A66" s="16">
        <f t="shared" si="26"/>
        <v>44272</v>
      </c>
      <c r="B66" s="21">
        <f t="shared" si="17"/>
        <v>44272</v>
      </c>
      <c r="C66" s="22">
        <f t="shared" si="18"/>
        <v>44405</v>
      </c>
      <c r="D66" s="22">
        <f t="shared" si="19"/>
        <v>44405</v>
      </c>
      <c r="E66" s="22">
        <f t="shared" si="20"/>
        <v>44384</v>
      </c>
      <c r="F66" s="22">
        <f t="shared" si="21"/>
        <v>44384</v>
      </c>
      <c r="G66" s="22">
        <f t="shared" si="22"/>
        <v>44328</v>
      </c>
      <c r="H66" s="22">
        <f t="shared" si="23"/>
        <v>44328</v>
      </c>
      <c r="I66" s="22">
        <f t="shared" si="24"/>
        <v>44314</v>
      </c>
      <c r="J66" s="9"/>
      <c r="K66" s="23"/>
      <c r="L66" s="9"/>
      <c r="M66" s="22" t="e">
        <f t="shared" si="25"/>
        <v>#REF!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13"/>
      <c r="AM66" s="4"/>
      <c r="AN66" s="4"/>
      <c r="AO66" s="5"/>
    </row>
    <row r="67" spans="1:41" ht="15" customHeight="1">
      <c r="A67" s="9"/>
      <c r="B67" s="9"/>
      <c r="C67" s="16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13"/>
      <c r="AM67" s="4"/>
      <c r="AN67" s="4"/>
      <c r="AO67" s="5"/>
    </row>
    <row r="68" spans="1:41" ht="15" customHeight="1">
      <c r="A68" s="9"/>
      <c r="B68" s="21">
        <f>A16</f>
        <v>43922</v>
      </c>
      <c r="C68" s="16">
        <f>A17</f>
        <v>43929</v>
      </c>
      <c r="D68" s="16">
        <f>A18</f>
        <v>43936</v>
      </c>
      <c r="E68" s="16">
        <f>A19</f>
        <v>43943</v>
      </c>
      <c r="F68" s="16">
        <f>A20</f>
        <v>43950</v>
      </c>
      <c r="G68" s="16">
        <f>A21</f>
        <v>43957</v>
      </c>
      <c r="H68" s="16">
        <f>A22</f>
        <v>43964</v>
      </c>
      <c r="I68" s="16">
        <f>A23</f>
        <v>43971</v>
      </c>
      <c r="J68" s="16">
        <f>A24</f>
        <v>43978</v>
      </c>
      <c r="K68" s="16">
        <f>A25</f>
        <v>43985</v>
      </c>
      <c r="L68" s="16">
        <f>A26</f>
        <v>43992</v>
      </c>
      <c r="M68" s="16">
        <f>A27</f>
        <v>43999</v>
      </c>
      <c r="N68" s="16">
        <f>A28</f>
        <v>44006</v>
      </c>
      <c r="O68" s="21">
        <f>A29</f>
        <v>44013</v>
      </c>
      <c r="P68" s="21">
        <f>$A30</f>
        <v>44020</v>
      </c>
      <c r="Q68" s="21">
        <f>$A31</f>
        <v>44027</v>
      </c>
      <c r="R68" s="21">
        <f>$A32</f>
        <v>44034</v>
      </c>
      <c r="S68" s="21">
        <f>$A33</f>
        <v>44041</v>
      </c>
      <c r="T68" s="21">
        <f>$A34</f>
        <v>44048</v>
      </c>
      <c r="U68" s="21">
        <f>$A35</f>
        <v>44055</v>
      </c>
      <c r="V68" s="21">
        <f>$A36</f>
        <v>44062</v>
      </c>
      <c r="W68" s="21">
        <f>$A37</f>
        <v>44069</v>
      </c>
      <c r="X68" s="21">
        <f>$A38</f>
        <v>44076</v>
      </c>
      <c r="Y68" s="21">
        <f>$A39</f>
        <v>44083</v>
      </c>
      <c r="Z68" s="21">
        <f>$A40</f>
        <v>44090</v>
      </c>
      <c r="AA68" s="21">
        <f>$A41</f>
        <v>44097</v>
      </c>
      <c r="AB68" s="16">
        <f>A42</f>
        <v>44104</v>
      </c>
      <c r="AC68" s="16">
        <f>A43</f>
        <v>44111</v>
      </c>
      <c r="AD68" s="16">
        <f>A44</f>
        <v>44118</v>
      </c>
      <c r="AE68" s="16">
        <f>A45</f>
        <v>44125</v>
      </c>
      <c r="AF68" s="16">
        <f>A46</f>
        <v>44132</v>
      </c>
      <c r="AG68" s="16">
        <f>A47</f>
        <v>44139</v>
      </c>
      <c r="AH68" s="16">
        <f>A48</f>
        <v>44146</v>
      </c>
      <c r="AI68" s="16">
        <f>A48</f>
        <v>44146</v>
      </c>
      <c r="AJ68" s="16">
        <f>A50</f>
        <v>44160</v>
      </c>
      <c r="AK68" s="9"/>
      <c r="AL68" s="13"/>
      <c r="AM68" s="4"/>
      <c r="AN68" s="4"/>
      <c r="AO68" s="5"/>
    </row>
    <row r="69" spans="1:41" ht="15" customHeight="1">
      <c r="A69" s="9"/>
      <c r="B69" s="21">
        <f t="shared" ref="B69:AJ69" si="27">B68</f>
        <v>43922</v>
      </c>
      <c r="C69" s="16">
        <f t="shared" si="27"/>
        <v>43929</v>
      </c>
      <c r="D69" s="16">
        <f t="shared" si="27"/>
        <v>43936</v>
      </c>
      <c r="E69" s="16">
        <f t="shared" si="27"/>
        <v>43943</v>
      </c>
      <c r="F69" s="16">
        <f t="shared" si="27"/>
        <v>43950</v>
      </c>
      <c r="G69" s="16">
        <f t="shared" si="27"/>
        <v>43957</v>
      </c>
      <c r="H69" s="16">
        <f t="shared" si="27"/>
        <v>43964</v>
      </c>
      <c r="I69" s="16">
        <f t="shared" si="27"/>
        <v>43971</v>
      </c>
      <c r="J69" s="16">
        <f t="shared" si="27"/>
        <v>43978</v>
      </c>
      <c r="K69" s="16">
        <f t="shared" si="27"/>
        <v>43985</v>
      </c>
      <c r="L69" s="16">
        <f t="shared" si="27"/>
        <v>43992</v>
      </c>
      <c r="M69" s="16">
        <f t="shared" si="27"/>
        <v>43999</v>
      </c>
      <c r="N69" s="16">
        <f t="shared" si="27"/>
        <v>44006</v>
      </c>
      <c r="O69" s="21">
        <f t="shared" si="27"/>
        <v>44013</v>
      </c>
      <c r="P69" s="21">
        <f t="shared" si="27"/>
        <v>44020</v>
      </c>
      <c r="Q69" s="21">
        <f t="shared" si="27"/>
        <v>44027</v>
      </c>
      <c r="R69" s="21">
        <f t="shared" si="27"/>
        <v>44034</v>
      </c>
      <c r="S69" s="21">
        <f t="shared" si="27"/>
        <v>44041</v>
      </c>
      <c r="T69" s="21">
        <f t="shared" si="27"/>
        <v>44048</v>
      </c>
      <c r="U69" s="21">
        <f t="shared" si="27"/>
        <v>44055</v>
      </c>
      <c r="V69" s="21">
        <f t="shared" si="27"/>
        <v>44062</v>
      </c>
      <c r="W69" s="21">
        <f t="shared" si="27"/>
        <v>44069</v>
      </c>
      <c r="X69" s="21">
        <f t="shared" si="27"/>
        <v>44076</v>
      </c>
      <c r="Y69" s="21">
        <f t="shared" si="27"/>
        <v>44083</v>
      </c>
      <c r="Z69" s="21">
        <f t="shared" si="27"/>
        <v>44090</v>
      </c>
      <c r="AA69" s="21">
        <f t="shared" si="27"/>
        <v>44097</v>
      </c>
      <c r="AB69" s="21">
        <f t="shared" si="27"/>
        <v>44104</v>
      </c>
      <c r="AC69" s="21">
        <f t="shared" si="27"/>
        <v>44111</v>
      </c>
      <c r="AD69" s="21">
        <f t="shared" si="27"/>
        <v>44118</v>
      </c>
      <c r="AE69" s="21">
        <f t="shared" si="27"/>
        <v>44125</v>
      </c>
      <c r="AF69" s="21">
        <f t="shared" si="27"/>
        <v>44132</v>
      </c>
      <c r="AG69" s="21">
        <f t="shared" si="27"/>
        <v>44139</v>
      </c>
      <c r="AH69" s="21">
        <f t="shared" si="27"/>
        <v>44146</v>
      </c>
      <c r="AI69" s="21">
        <f t="shared" si="27"/>
        <v>44146</v>
      </c>
      <c r="AJ69" s="21">
        <f t="shared" si="27"/>
        <v>44160</v>
      </c>
      <c r="AK69" s="9"/>
      <c r="AL69" s="13"/>
      <c r="AM69" s="4"/>
      <c r="AN69" s="4"/>
      <c r="AO69" s="5"/>
    </row>
    <row r="70" spans="1:41" ht="15" customHeight="1">
      <c r="A70" s="24" t="s">
        <v>24</v>
      </c>
      <c r="B70" s="25">
        <f t="shared" ref="B70:AJ70" si="28">B68+$S$3</f>
        <v>44055</v>
      </c>
      <c r="C70" s="22">
        <f t="shared" si="28"/>
        <v>44062</v>
      </c>
      <c r="D70" s="22">
        <f t="shared" si="28"/>
        <v>44069</v>
      </c>
      <c r="E70" s="22">
        <f t="shared" si="28"/>
        <v>44076</v>
      </c>
      <c r="F70" s="22">
        <f t="shared" si="28"/>
        <v>44083</v>
      </c>
      <c r="G70" s="22">
        <f t="shared" si="28"/>
        <v>44090</v>
      </c>
      <c r="H70" s="22">
        <f t="shared" si="28"/>
        <v>44097</v>
      </c>
      <c r="I70" s="22">
        <f t="shared" si="28"/>
        <v>44104</v>
      </c>
      <c r="J70" s="22">
        <f t="shared" si="28"/>
        <v>44111</v>
      </c>
      <c r="K70" s="22">
        <f t="shared" si="28"/>
        <v>44118</v>
      </c>
      <c r="L70" s="22">
        <f t="shared" si="28"/>
        <v>44125</v>
      </c>
      <c r="M70" s="22">
        <f t="shared" si="28"/>
        <v>44132</v>
      </c>
      <c r="N70" s="22">
        <f t="shared" si="28"/>
        <v>44139</v>
      </c>
      <c r="O70" s="25">
        <f t="shared" si="28"/>
        <v>44146</v>
      </c>
      <c r="P70" s="25">
        <f t="shared" si="28"/>
        <v>44153</v>
      </c>
      <c r="Q70" s="25">
        <f t="shared" si="28"/>
        <v>44160</v>
      </c>
      <c r="R70" s="25">
        <f t="shared" si="28"/>
        <v>44167</v>
      </c>
      <c r="S70" s="25">
        <f t="shared" si="28"/>
        <v>44174</v>
      </c>
      <c r="T70" s="25">
        <f t="shared" si="28"/>
        <v>44181</v>
      </c>
      <c r="U70" s="25">
        <f t="shared" si="28"/>
        <v>44188</v>
      </c>
      <c r="V70" s="25">
        <f t="shared" si="28"/>
        <v>44195</v>
      </c>
      <c r="W70" s="25">
        <f t="shared" si="28"/>
        <v>44202</v>
      </c>
      <c r="X70" s="25">
        <f t="shared" si="28"/>
        <v>44209</v>
      </c>
      <c r="Y70" s="25">
        <f t="shared" si="28"/>
        <v>44216</v>
      </c>
      <c r="Z70" s="25">
        <f t="shared" si="28"/>
        <v>44223</v>
      </c>
      <c r="AA70" s="25">
        <f t="shared" si="28"/>
        <v>44230</v>
      </c>
      <c r="AB70" s="25">
        <f t="shared" si="28"/>
        <v>44237</v>
      </c>
      <c r="AC70" s="25">
        <f t="shared" si="28"/>
        <v>44244</v>
      </c>
      <c r="AD70" s="25">
        <f t="shared" si="28"/>
        <v>44251</v>
      </c>
      <c r="AE70" s="25">
        <f t="shared" si="28"/>
        <v>44258</v>
      </c>
      <c r="AF70" s="25">
        <f t="shared" si="28"/>
        <v>44265</v>
      </c>
      <c r="AG70" s="25">
        <f t="shared" si="28"/>
        <v>44272</v>
      </c>
      <c r="AH70" s="25">
        <f t="shared" si="28"/>
        <v>44279</v>
      </c>
      <c r="AI70" s="25">
        <f t="shared" si="28"/>
        <v>44279</v>
      </c>
      <c r="AJ70" s="25">
        <f t="shared" si="28"/>
        <v>44293</v>
      </c>
      <c r="AK70" s="9"/>
      <c r="AL70" s="13"/>
      <c r="AM70" s="4"/>
      <c r="AN70" s="4"/>
      <c r="AO70" s="5"/>
    </row>
    <row r="71" spans="1:41" ht="15" customHeight="1">
      <c r="A71" s="17"/>
      <c r="B71" s="25">
        <f t="shared" ref="B71:AJ71" si="29">B70</f>
        <v>44055</v>
      </c>
      <c r="C71" s="22">
        <f t="shared" si="29"/>
        <v>44062</v>
      </c>
      <c r="D71" s="22">
        <f t="shared" si="29"/>
        <v>44069</v>
      </c>
      <c r="E71" s="22">
        <f t="shared" si="29"/>
        <v>44076</v>
      </c>
      <c r="F71" s="22">
        <f t="shared" si="29"/>
        <v>44083</v>
      </c>
      <c r="G71" s="22">
        <f t="shared" si="29"/>
        <v>44090</v>
      </c>
      <c r="H71" s="22">
        <f t="shared" si="29"/>
        <v>44097</v>
      </c>
      <c r="I71" s="22">
        <f t="shared" si="29"/>
        <v>44104</v>
      </c>
      <c r="J71" s="22">
        <f t="shared" si="29"/>
        <v>44111</v>
      </c>
      <c r="K71" s="22">
        <f t="shared" si="29"/>
        <v>44118</v>
      </c>
      <c r="L71" s="22">
        <f t="shared" si="29"/>
        <v>44125</v>
      </c>
      <c r="M71" s="22">
        <f t="shared" si="29"/>
        <v>44132</v>
      </c>
      <c r="N71" s="22">
        <f t="shared" si="29"/>
        <v>44139</v>
      </c>
      <c r="O71" s="25">
        <f t="shared" si="29"/>
        <v>44146</v>
      </c>
      <c r="P71" s="25">
        <f t="shared" si="29"/>
        <v>44153</v>
      </c>
      <c r="Q71" s="25">
        <f t="shared" si="29"/>
        <v>44160</v>
      </c>
      <c r="R71" s="25">
        <f t="shared" si="29"/>
        <v>44167</v>
      </c>
      <c r="S71" s="25">
        <f t="shared" si="29"/>
        <v>44174</v>
      </c>
      <c r="T71" s="25">
        <f t="shared" si="29"/>
        <v>44181</v>
      </c>
      <c r="U71" s="25">
        <f t="shared" si="29"/>
        <v>44188</v>
      </c>
      <c r="V71" s="25">
        <f t="shared" si="29"/>
        <v>44195</v>
      </c>
      <c r="W71" s="25">
        <f t="shared" si="29"/>
        <v>44202</v>
      </c>
      <c r="X71" s="25">
        <f t="shared" si="29"/>
        <v>44209</v>
      </c>
      <c r="Y71" s="25">
        <f t="shared" si="29"/>
        <v>44216</v>
      </c>
      <c r="Z71" s="25">
        <f t="shared" si="29"/>
        <v>44223</v>
      </c>
      <c r="AA71" s="25">
        <f t="shared" si="29"/>
        <v>44230</v>
      </c>
      <c r="AB71" s="25">
        <f t="shared" si="29"/>
        <v>44237</v>
      </c>
      <c r="AC71" s="25">
        <f t="shared" si="29"/>
        <v>44244</v>
      </c>
      <c r="AD71" s="25">
        <f t="shared" si="29"/>
        <v>44251</v>
      </c>
      <c r="AE71" s="25">
        <f t="shared" si="29"/>
        <v>44258</v>
      </c>
      <c r="AF71" s="25">
        <f t="shared" si="29"/>
        <v>44265</v>
      </c>
      <c r="AG71" s="25">
        <f t="shared" si="29"/>
        <v>44272</v>
      </c>
      <c r="AH71" s="25">
        <f t="shared" si="29"/>
        <v>44279</v>
      </c>
      <c r="AI71" s="25">
        <f t="shared" si="29"/>
        <v>44279</v>
      </c>
      <c r="AJ71" s="25">
        <f t="shared" si="29"/>
        <v>44293</v>
      </c>
      <c r="AK71" s="9"/>
      <c r="AL71" s="13"/>
      <c r="AM71" s="4"/>
      <c r="AN71" s="4"/>
      <c r="AO71" s="5"/>
    </row>
    <row r="72" spans="1:41" ht="15" customHeight="1">
      <c r="A72" s="24" t="s">
        <v>26</v>
      </c>
      <c r="B72" s="25">
        <f t="shared" ref="B72:AJ72" si="30">B68+$S$5</f>
        <v>44034</v>
      </c>
      <c r="C72" s="22">
        <f t="shared" si="30"/>
        <v>44041</v>
      </c>
      <c r="D72" s="22">
        <f t="shared" si="30"/>
        <v>44048</v>
      </c>
      <c r="E72" s="22">
        <f t="shared" si="30"/>
        <v>44055</v>
      </c>
      <c r="F72" s="22">
        <f t="shared" si="30"/>
        <v>44062</v>
      </c>
      <c r="G72" s="22">
        <f t="shared" si="30"/>
        <v>44069</v>
      </c>
      <c r="H72" s="22">
        <f t="shared" si="30"/>
        <v>44076</v>
      </c>
      <c r="I72" s="22">
        <f t="shared" si="30"/>
        <v>44083</v>
      </c>
      <c r="J72" s="22">
        <f t="shared" si="30"/>
        <v>44090</v>
      </c>
      <c r="K72" s="22">
        <f t="shared" si="30"/>
        <v>44097</v>
      </c>
      <c r="L72" s="22">
        <f t="shared" si="30"/>
        <v>44104</v>
      </c>
      <c r="M72" s="22">
        <f t="shared" si="30"/>
        <v>44111</v>
      </c>
      <c r="N72" s="22">
        <f t="shared" si="30"/>
        <v>44118</v>
      </c>
      <c r="O72" s="25">
        <f t="shared" si="30"/>
        <v>44125</v>
      </c>
      <c r="P72" s="25">
        <f t="shared" si="30"/>
        <v>44132</v>
      </c>
      <c r="Q72" s="25">
        <f t="shared" si="30"/>
        <v>44139</v>
      </c>
      <c r="R72" s="25">
        <f t="shared" si="30"/>
        <v>44146</v>
      </c>
      <c r="S72" s="25">
        <f t="shared" si="30"/>
        <v>44153</v>
      </c>
      <c r="T72" s="25">
        <f t="shared" si="30"/>
        <v>44160</v>
      </c>
      <c r="U72" s="25">
        <f t="shared" si="30"/>
        <v>44167</v>
      </c>
      <c r="V72" s="25">
        <f t="shared" si="30"/>
        <v>44174</v>
      </c>
      <c r="W72" s="25">
        <f t="shared" si="30"/>
        <v>44181</v>
      </c>
      <c r="X72" s="25">
        <f t="shared" si="30"/>
        <v>44188</v>
      </c>
      <c r="Y72" s="25">
        <f t="shared" si="30"/>
        <v>44195</v>
      </c>
      <c r="Z72" s="25">
        <f t="shared" si="30"/>
        <v>44202</v>
      </c>
      <c r="AA72" s="25">
        <f t="shared" si="30"/>
        <v>44209</v>
      </c>
      <c r="AB72" s="25">
        <f t="shared" si="30"/>
        <v>44216</v>
      </c>
      <c r="AC72" s="25">
        <f t="shared" si="30"/>
        <v>44223</v>
      </c>
      <c r="AD72" s="25">
        <f t="shared" si="30"/>
        <v>44230</v>
      </c>
      <c r="AE72" s="25">
        <f t="shared" si="30"/>
        <v>44237</v>
      </c>
      <c r="AF72" s="25">
        <f t="shared" si="30"/>
        <v>44244</v>
      </c>
      <c r="AG72" s="25">
        <f t="shared" si="30"/>
        <v>44251</v>
      </c>
      <c r="AH72" s="25">
        <f t="shared" si="30"/>
        <v>44258</v>
      </c>
      <c r="AI72" s="25">
        <f t="shared" si="30"/>
        <v>44258</v>
      </c>
      <c r="AJ72" s="25">
        <f t="shared" si="30"/>
        <v>44272</v>
      </c>
      <c r="AK72" s="9"/>
      <c r="AL72" s="13"/>
      <c r="AM72" s="4"/>
      <c r="AN72" s="4"/>
      <c r="AO72" s="5"/>
    </row>
    <row r="73" spans="1:41" ht="15" customHeight="1">
      <c r="A73" s="17"/>
      <c r="B73" s="25">
        <f t="shared" ref="B73:AJ73" si="31">B72</f>
        <v>44034</v>
      </c>
      <c r="C73" s="22">
        <f t="shared" si="31"/>
        <v>44041</v>
      </c>
      <c r="D73" s="22">
        <f t="shared" si="31"/>
        <v>44048</v>
      </c>
      <c r="E73" s="22">
        <f t="shared" si="31"/>
        <v>44055</v>
      </c>
      <c r="F73" s="22">
        <f t="shared" si="31"/>
        <v>44062</v>
      </c>
      <c r="G73" s="22">
        <f t="shared" si="31"/>
        <v>44069</v>
      </c>
      <c r="H73" s="22">
        <f t="shared" si="31"/>
        <v>44076</v>
      </c>
      <c r="I73" s="22">
        <f t="shared" si="31"/>
        <v>44083</v>
      </c>
      <c r="J73" s="22">
        <f t="shared" si="31"/>
        <v>44090</v>
      </c>
      <c r="K73" s="22">
        <f t="shared" si="31"/>
        <v>44097</v>
      </c>
      <c r="L73" s="22">
        <f t="shared" si="31"/>
        <v>44104</v>
      </c>
      <c r="M73" s="22">
        <f t="shared" si="31"/>
        <v>44111</v>
      </c>
      <c r="N73" s="22">
        <f t="shared" si="31"/>
        <v>44118</v>
      </c>
      <c r="O73" s="25">
        <f t="shared" si="31"/>
        <v>44125</v>
      </c>
      <c r="P73" s="25">
        <f t="shared" si="31"/>
        <v>44132</v>
      </c>
      <c r="Q73" s="25">
        <f t="shared" si="31"/>
        <v>44139</v>
      </c>
      <c r="R73" s="25">
        <f t="shared" si="31"/>
        <v>44146</v>
      </c>
      <c r="S73" s="25">
        <f t="shared" si="31"/>
        <v>44153</v>
      </c>
      <c r="T73" s="25">
        <f t="shared" si="31"/>
        <v>44160</v>
      </c>
      <c r="U73" s="25">
        <f t="shared" si="31"/>
        <v>44167</v>
      </c>
      <c r="V73" s="25">
        <f t="shared" si="31"/>
        <v>44174</v>
      </c>
      <c r="W73" s="25">
        <f t="shared" si="31"/>
        <v>44181</v>
      </c>
      <c r="X73" s="25">
        <f t="shared" si="31"/>
        <v>44188</v>
      </c>
      <c r="Y73" s="25">
        <f t="shared" si="31"/>
        <v>44195</v>
      </c>
      <c r="Z73" s="25">
        <f t="shared" si="31"/>
        <v>44202</v>
      </c>
      <c r="AA73" s="25">
        <f t="shared" si="31"/>
        <v>44209</v>
      </c>
      <c r="AB73" s="25">
        <f t="shared" si="31"/>
        <v>44216</v>
      </c>
      <c r="AC73" s="25">
        <f t="shared" si="31"/>
        <v>44223</v>
      </c>
      <c r="AD73" s="25">
        <f t="shared" si="31"/>
        <v>44230</v>
      </c>
      <c r="AE73" s="25">
        <f t="shared" si="31"/>
        <v>44237</v>
      </c>
      <c r="AF73" s="25">
        <f t="shared" si="31"/>
        <v>44244</v>
      </c>
      <c r="AG73" s="25">
        <f t="shared" si="31"/>
        <v>44251</v>
      </c>
      <c r="AH73" s="25">
        <f t="shared" si="31"/>
        <v>44258</v>
      </c>
      <c r="AI73" s="25">
        <f t="shared" si="31"/>
        <v>44258</v>
      </c>
      <c r="AJ73" s="25">
        <f t="shared" si="31"/>
        <v>44272</v>
      </c>
      <c r="AK73" s="9"/>
      <c r="AL73" s="13"/>
      <c r="AM73" s="4"/>
      <c r="AN73" s="4"/>
      <c r="AO73" s="5"/>
    </row>
    <row r="74" spans="1:41" ht="15" customHeight="1">
      <c r="A74" s="24" t="s">
        <v>27</v>
      </c>
      <c r="B74" s="25">
        <f t="shared" ref="B74:AJ74" si="32">B68+$S$7</f>
        <v>43978</v>
      </c>
      <c r="C74" s="22">
        <f t="shared" si="32"/>
        <v>43985</v>
      </c>
      <c r="D74" s="22">
        <f t="shared" si="32"/>
        <v>43992</v>
      </c>
      <c r="E74" s="22">
        <f t="shared" si="32"/>
        <v>43999</v>
      </c>
      <c r="F74" s="22">
        <f t="shared" si="32"/>
        <v>44006</v>
      </c>
      <c r="G74" s="22">
        <f t="shared" si="32"/>
        <v>44013</v>
      </c>
      <c r="H74" s="22">
        <f t="shared" si="32"/>
        <v>44020</v>
      </c>
      <c r="I74" s="22">
        <f t="shared" si="32"/>
        <v>44027</v>
      </c>
      <c r="J74" s="22">
        <f t="shared" si="32"/>
        <v>44034</v>
      </c>
      <c r="K74" s="22">
        <f t="shared" si="32"/>
        <v>44041</v>
      </c>
      <c r="L74" s="22">
        <f t="shared" si="32"/>
        <v>44048</v>
      </c>
      <c r="M74" s="22">
        <f t="shared" si="32"/>
        <v>44055</v>
      </c>
      <c r="N74" s="22">
        <f t="shared" si="32"/>
        <v>44062</v>
      </c>
      <c r="O74" s="25">
        <f t="shared" si="32"/>
        <v>44069</v>
      </c>
      <c r="P74" s="25">
        <f t="shared" si="32"/>
        <v>44076</v>
      </c>
      <c r="Q74" s="25">
        <f t="shared" si="32"/>
        <v>44083</v>
      </c>
      <c r="R74" s="25">
        <f t="shared" si="32"/>
        <v>44090</v>
      </c>
      <c r="S74" s="25">
        <f t="shared" si="32"/>
        <v>44097</v>
      </c>
      <c r="T74" s="25">
        <f t="shared" si="32"/>
        <v>44104</v>
      </c>
      <c r="U74" s="25">
        <f t="shared" si="32"/>
        <v>44111</v>
      </c>
      <c r="V74" s="25">
        <f t="shared" si="32"/>
        <v>44118</v>
      </c>
      <c r="W74" s="25">
        <f t="shared" si="32"/>
        <v>44125</v>
      </c>
      <c r="X74" s="25">
        <f t="shared" si="32"/>
        <v>44132</v>
      </c>
      <c r="Y74" s="25">
        <f t="shared" si="32"/>
        <v>44139</v>
      </c>
      <c r="Z74" s="25">
        <f t="shared" si="32"/>
        <v>44146</v>
      </c>
      <c r="AA74" s="25">
        <f t="shared" si="32"/>
        <v>44153</v>
      </c>
      <c r="AB74" s="25">
        <f t="shared" si="32"/>
        <v>44160</v>
      </c>
      <c r="AC74" s="25">
        <f t="shared" si="32"/>
        <v>44167</v>
      </c>
      <c r="AD74" s="25">
        <f t="shared" si="32"/>
        <v>44174</v>
      </c>
      <c r="AE74" s="25">
        <f t="shared" si="32"/>
        <v>44181</v>
      </c>
      <c r="AF74" s="25">
        <f t="shared" si="32"/>
        <v>44188</v>
      </c>
      <c r="AG74" s="25">
        <f t="shared" si="32"/>
        <v>44195</v>
      </c>
      <c r="AH74" s="25">
        <f t="shared" si="32"/>
        <v>44202</v>
      </c>
      <c r="AI74" s="25">
        <f t="shared" si="32"/>
        <v>44202</v>
      </c>
      <c r="AJ74" s="25">
        <f t="shared" si="32"/>
        <v>44216</v>
      </c>
      <c r="AK74" s="9"/>
      <c r="AL74" s="13"/>
      <c r="AM74" s="4"/>
      <c r="AN74" s="4"/>
      <c r="AO74" s="5"/>
    </row>
    <row r="75" spans="1:41" ht="15" customHeight="1">
      <c r="A75" s="17"/>
      <c r="B75" s="25">
        <f t="shared" ref="B75:AJ75" si="33">B74</f>
        <v>43978</v>
      </c>
      <c r="C75" s="22">
        <f t="shared" si="33"/>
        <v>43985</v>
      </c>
      <c r="D75" s="22">
        <f t="shared" si="33"/>
        <v>43992</v>
      </c>
      <c r="E75" s="22">
        <f t="shared" si="33"/>
        <v>43999</v>
      </c>
      <c r="F75" s="22">
        <f t="shared" si="33"/>
        <v>44006</v>
      </c>
      <c r="G75" s="22">
        <f t="shared" si="33"/>
        <v>44013</v>
      </c>
      <c r="H75" s="22">
        <f t="shared" si="33"/>
        <v>44020</v>
      </c>
      <c r="I75" s="22">
        <f t="shared" si="33"/>
        <v>44027</v>
      </c>
      <c r="J75" s="22">
        <f t="shared" si="33"/>
        <v>44034</v>
      </c>
      <c r="K75" s="22">
        <f t="shared" si="33"/>
        <v>44041</v>
      </c>
      <c r="L75" s="22">
        <f t="shared" si="33"/>
        <v>44048</v>
      </c>
      <c r="M75" s="22">
        <f t="shared" si="33"/>
        <v>44055</v>
      </c>
      <c r="N75" s="22">
        <f t="shared" si="33"/>
        <v>44062</v>
      </c>
      <c r="O75" s="25">
        <f t="shared" si="33"/>
        <v>44069</v>
      </c>
      <c r="P75" s="25">
        <f t="shared" si="33"/>
        <v>44076</v>
      </c>
      <c r="Q75" s="25">
        <f t="shared" si="33"/>
        <v>44083</v>
      </c>
      <c r="R75" s="25">
        <f t="shared" si="33"/>
        <v>44090</v>
      </c>
      <c r="S75" s="25">
        <f t="shared" si="33"/>
        <v>44097</v>
      </c>
      <c r="T75" s="25">
        <f t="shared" si="33"/>
        <v>44104</v>
      </c>
      <c r="U75" s="25">
        <f t="shared" si="33"/>
        <v>44111</v>
      </c>
      <c r="V75" s="25">
        <f t="shared" si="33"/>
        <v>44118</v>
      </c>
      <c r="W75" s="25">
        <f t="shared" si="33"/>
        <v>44125</v>
      </c>
      <c r="X75" s="25">
        <f t="shared" si="33"/>
        <v>44132</v>
      </c>
      <c r="Y75" s="25">
        <f t="shared" si="33"/>
        <v>44139</v>
      </c>
      <c r="Z75" s="25">
        <f t="shared" si="33"/>
        <v>44146</v>
      </c>
      <c r="AA75" s="25">
        <f t="shared" si="33"/>
        <v>44153</v>
      </c>
      <c r="AB75" s="25">
        <f t="shared" si="33"/>
        <v>44160</v>
      </c>
      <c r="AC75" s="25">
        <f t="shared" si="33"/>
        <v>44167</v>
      </c>
      <c r="AD75" s="25">
        <f t="shared" si="33"/>
        <v>44174</v>
      </c>
      <c r="AE75" s="25">
        <f t="shared" si="33"/>
        <v>44181</v>
      </c>
      <c r="AF75" s="25">
        <f t="shared" si="33"/>
        <v>44188</v>
      </c>
      <c r="AG75" s="25">
        <f t="shared" si="33"/>
        <v>44195</v>
      </c>
      <c r="AH75" s="25">
        <f t="shared" si="33"/>
        <v>44202</v>
      </c>
      <c r="AI75" s="25">
        <f t="shared" si="33"/>
        <v>44202</v>
      </c>
      <c r="AJ75" s="25">
        <f t="shared" si="33"/>
        <v>44216</v>
      </c>
      <c r="AK75" s="9"/>
      <c r="AL75" s="13"/>
      <c r="AM75" s="4"/>
      <c r="AN75" s="4"/>
      <c r="AO75" s="5"/>
    </row>
    <row r="76" spans="1:41" ht="15" customHeight="1">
      <c r="A76" s="24" t="s">
        <v>28</v>
      </c>
      <c r="B76" s="25">
        <f t="shared" ref="B76:AJ76" si="34">B68+$S$16</f>
        <v>43964</v>
      </c>
      <c r="C76" s="22">
        <f t="shared" si="34"/>
        <v>43971</v>
      </c>
      <c r="D76" s="22">
        <f t="shared" si="34"/>
        <v>43978</v>
      </c>
      <c r="E76" s="22">
        <f t="shared" si="34"/>
        <v>43985</v>
      </c>
      <c r="F76" s="22">
        <f t="shared" si="34"/>
        <v>43992</v>
      </c>
      <c r="G76" s="22">
        <f t="shared" si="34"/>
        <v>43999</v>
      </c>
      <c r="H76" s="22">
        <f t="shared" si="34"/>
        <v>44006</v>
      </c>
      <c r="I76" s="22">
        <f t="shared" si="34"/>
        <v>44013</v>
      </c>
      <c r="J76" s="22">
        <f t="shared" si="34"/>
        <v>44020</v>
      </c>
      <c r="K76" s="22">
        <f t="shared" si="34"/>
        <v>44027</v>
      </c>
      <c r="L76" s="22">
        <f t="shared" si="34"/>
        <v>44034</v>
      </c>
      <c r="M76" s="22">
        <f t="shared" si="34"/>
        <v>44041</v>
      </c>
      <c r="N76" s="22">
        <f t="shared" si="34"/>
        <v>44048</v>
      </c>
      <c r="O76" s="25">
        <f t="shared" si="34"/>
        <v>44055</v>
      </c>
      <c r="P76" s="25">
        <f t="shared" si="34"/>
        <v>44062</v>
      </c>
      <c r="Q76" s="25">
        <f t="shared" si="34"/>
        <v>44069</v>
      </c>
      <c r="R76" s="25">
        <f t="shared" si="34"/>
        <v>44076</v>
      </c>
      <c r="S76" s="25">
        <f t="shared" si="34"/>
        <v>44083</v>
      </c>
      <c r="T76" s="25">
        <f t="shared" si="34"/>
        <v>44090</v>
      </c>
      <c r="U76" s="25">
        <f t="shared" si="34"/>
        <v>44097</v>
      </c>
      <c r="V76" s="25">
        <f t="shared" si="34"/>
        <v>44104</v>
      </c>
      <c r="W76" s="25">
        <f t="shared" si="34"/>
        <v>44111</v>
      </c>
      <c r="X76" s="25">
        <f t="shared" si="34"/>
        <v>44118</v>
      </c>
      <c r="Y76" s="25">
        <f t="shared" si="34"/>
        <v>44125</v>
      </c>
      <c r="Z76" s="25">
        <f t="shared" si="34"/>
        <v>44132</v>
      </c>
      <c r="AA76" s="25">
        <f t="shared" si="34"/>
        <v>44139</v>
      </c>
      <c r="AB76" s="25">
        <f t="shared" si="34"/>
        <v>44146</v>
      </c>
      <c r="AC76" s="25">
        <f t="shared" si="34"/>
        <v>44153</v>
      </c>
      <c r="AD76" s="25">
        <f t="shared" si="34"/>
        <v>44160</v>
      </c>
      <c r="AE76" s="25">
        <f t="shared" si="34"/>
        <v>44167</v>
      </c>
      <c r="AF76" s="25">
        <f t="shared" si="34"/>
        <v>44174</v>
      </c>
      <c r="AG76" s="25">
        <f t="shared" si="34"/>
        <v>44181</v>
      </c>
      <c r="AH76" s="25">
        <f t="shared" si="34"/>
        <v>44188</v>
      </c>
      <c r="AI76" s="25">
        <f t="shared" si="34"/>
        <v>44188</v>
      </c>
      <c r="AJ76" s="25">
        <f t="shared" si="34"/>
        <v>44202</v>
      </c>
      <c r="AK76" s="9"/>
      <c r="AL76" s="13"/>
      <c r="AM76" s="4"/>
      <c r="AN76" s="4"/>
      <c r="AO76" s="5"/>
    </row>
    <row r="77" spans="1:41" ht="15" customHeight="1">
      <c r="A77" s="17"/>
      <c r="B77" s="17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7"/>
      <c r="P77" s="17"/>
      <c r="Q77" s="17"/>
      <c r="R77" s="17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13"/>
      <c r="AM77" s="4"/>
      <c r="AN77" s="4"/>
      <c r="AO77" s="5"/>
    </row>
    <row r="78" spans="1:41" ht="15" customHeight="1">
      <c r="A78" s="24" t="s">
        <v>29</v>
      </c>
      <c r="B78" s="25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6"/>
      <c r="P78" s="26"/>
      <c r="Q78" s="26"/>
      <c r="R78" s="26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13"/>
      <c r="AM78" s="4"/>
      <c r="AN78" s="4"/>
      <c r="AO78" s="5"/>
    </row>
    <row r="79" spans="1:41" ht="15" customHeight="1">
      <c r="A79" s="17"/>
      <c r="B79" s="17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7"/>
      <c r="P79" s="17"/>
      <c r="Q79" s="17"/>
      <c r="R79" s="17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13"/>
      <c r="AM79" s="4"/>
      <c r="AN79" s="4"/>
      <c r="AO79" s="5"/>
    </row>
    <row r="80" spans="1:41" ht="15" customHeight="1">
      <c r="A80" s="24" t="s">
        <v>30</v>
      </c>
      <c r="B80" s="25" t="e">
        <f t="shared" ref="B80:AJ80" si="35">B68+$S$20</f>
        <v>#REF!</v>
      </c>
      <c r="C80" s="22" t="e">
        <f t="shared" si="35"/>
        <v>#REF!</v>
      </c>
      <c r="D80" s="22" t="e">
        <f t="shared" si="35"/>
        <v>#REF!</v>
      </c>
      <c r="E80" s="22" t="e">
        <f t="shared" si="35"/>
        <v>#REF!</v>
      </c>
      <c r="F80" s="22" t="e">
        <f t="shared" si="35"/>
        <v>#REF!</v>
      </c>
      <c r="G80" s="22" t="e">
        <f t="shared" si="35"/>
        <v>#REF!</v>
      </c>
      <c r="H80" s="22" t="e">
        <f t="shared" si="35"/>
        <v>#REF!</v>
      </c>
      <c r="I80" s="22" t="e">
        <f t="shared" si="35"/>
        <v>#REF!</v>
      </c>
      <c r="J80" s="22" t="e">
        <f t="shared" si="35"/>
        <v>#REF!</v>
      </c>
      <c r="K80" s="22" t="e">
        <f t="shared" si="35"/>
        <v>#REF!</v>
      </c>
      <c r="L80" s="22" t="e">
        <f t="shared" si="35"/>
        <v>#REF!</v>
      </c>
      <c r="M80" s="22" t="e">
        <f t="shared" si="35"/>
        <v>#REF!</v>
      </c>
      <c r="N80" s="22" t="e">
        <f t="shared" si="35"/>
        <v>#REF!</v>
      </c>
      <c r="O80" s="25" t="e">
        <f t="shared" si="35"/>
        <v>#REF!</v>
      </c>
      <c r="P80" s="25" t="e">
        <f t="shared" si="35"/>
        <v>#REF!</v>
      </c>
      <c r="Q80" s="25" t="e">
        <f t="shared" si="35"/>
        <v>#REF!</v>
      </c>
      <c r="R80" s="25" t="e">
        <f t="shared" si="35"/>
        <v>#REF!</v>
      </c>
      <c r="S80" s="25" t="e">
        <f t="shared" si="35"/>
        <v>#REF!</v>
      </c>
      <c r="T80" s="25" t="e">
        <f t="shared" si="35"/>
        <v>#REF!</v>
      </c>
      <c r="U80" s="25" t="e">
        <f t="shared" si="35"/>
        <v>#REF!</v>
      </c>
      <c r="V80" s="25" t="e">
        <f t="shared" si="35"/>
        <v>#REF!</v>
      </c>
      <c r="W80" s="25" t="e">
        <f t="shared" si="35"/>
        <v>#REF!</v>
      </c>
      <c r="X80" s="25" t="e">
        <f t="shared" si="35"/>
        <v>#REF!</v>
      </c>
      <c r="Y80" s="25" t="e">
        <f t="shared" si="35"/>
        <v>#REF!</v>
      </c>
      <c r="Z80" s="25" t="e">
        <f t="shared" si="35"/>
        <v>#REF!</v>
      </c>
      <c r="AA80" s="25" t="e">
        <f t="shared" si="35"/>
        <v>#REF!</v>
      </c>
      <c r="AB80" s="25" t="e">
        <f t="shared" si="35"/>
        <v>#REF!</v>
      </c>
      <c r="AC80" s="25" t="e">
        <f t="shared" si="35"/>
        <v>#REF!</v>
      </c>
      <c r="AD80" s="25" t="e">
        <f t="shared" si="35"/>
        <v>#REF!</v>
      </c>
      <c r="AE80" s="25" t="e">
        <f t="shared" si="35"/>
        <v>#REF!</v>
      </c>
      <c r="AF80" s="25" t="e">
        <f t="shared" si="35"/>
        <v>#REF!</v>
      </c>
      <c r="AG80" s="25" t="e">
        <f t="shared" si="35"/>
        <v>#REF!</v>
      </c>
      <c r="AH80" s="25" t="e">
        <f t="shared" si="35"/>
        <v>#REF!</v>
      </c>
      <c r="AI80" s="25" t="e">
        <f t="shared" si="35"/>
        <v>#REF!</v>
      </c>
      <c r="AJ80" s="25" t="e">
        <f t="shared" si="35"/>
        <v>#REF!</v>
      </c>
      <c r="AK80" s="9"/>
      <c r="AL80" s="13"/>
      <c r="AM80" s="4"/>
      <c r="AN80" s="4"/>
      <c r="AO80" s="5"/>
    </row>
    <row r="81" spans="1:41" ht="15" customHeight="1">
      <c r="A81" s="9"/>
      <c r="B81" s="9"/>
      <c r="C81" s="16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13"/>
      <c r="AM81" s="4"/>
      <c r="AN81" s="4"/>
      <c r="AO81" s="5"/>
    </row>
    <row r="82" spans="1:41" ht="15" customHeight="1">
      <c r="A82" s="9"/>
      <c r="B82" s="9"/>
      <c r="C82" s="16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13"/>
      <c r="AM82" s="4"/>
      <c r="AN82" s="4"/>
      <c r="AO82" s="5"/>
    </row>
    <row r="83" spans="1:41" ht="15" customHeight="1">
      <c r="A83" s="11" t="s">
        <v>36</v>
      </c>
      <c r="B83" s="9"/>
      <c r="C83" s="16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13"/>
      <c r="AM83" s="4"/>
      <c r="AN83" s="4"/>
      <c r="AO83" s="5"/>
    </row>
    <row r="84" spans="1:41" ht="15" customHeight="1">
      <c r="A84" s="11" t="s">
        <v>37</v>
      </c>
      <c r="B84" s="9"/>
      <c r="C84" s="16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13"/>
      <c r="AM84" s="4"/>
      <c r="AN84" s="4"/>
      <c r="AO84" s="5"/>
    </row>
    <row r="85" spans="1:41" ht="15" customHeight="1">
      <c r="A85" s="11" t="s">
        <v>38</v>
      </c>
      <c r="B85" s="9"/>
      <c r="C85" s="16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13"/>
      <c r="AM85" s="4"/>
      <c r="AN85" s="4"/>
      <c r="AO85" s="5"/>
    </row>
    <row r="86" spans="1:41" ht="15" customHeight="1">
      <c r="A86" s="9"/>
      <c r="B86" s="11" t="s">
        <v>39</v>
      </c>
      <c r="C86" s="16"/>
      <c r="D86" s="9"/>
      <c r="E86" s="11" t="s">
        <v>40</v>
      </c>
      <c r="F86" s="11" t="s">
        <v>41</v>
      </c>
      <c r="G86" s="11" t="s">
        <v>42</v>
      </c>
      <c r="H86" s="11" t="s">
        <v>43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13"/>
      <c r="AM86" s="4"/>
      <c r="AN86" s="4"/>
      <c r="AO86" s="5"/>
    </row>
    <row r="87" spans="1:41" ht="15" customHeight="1">
      <c r="A87" s="27"/>
      <c r="B87" s="15">
        <v>0.5</v>
      </c>
      <c r="C87" s="11" t="str">
        <f>B87&amp;" "&amp;"hour"</f>
        <v>0.5 hour</v>
      </c>
      <c r="D87" s="28">
        <f t="shared" ref="D87:D95" si="36">B87</f>
        <v>0.5</v>
      </c>
      <c r="E87" s="15">
        <v>1</v>
      </c>
      <c r="F87" s="29">
        <f>VLOOKUP('Cost per dose'!$AA$2,$C$87:$D$95,2,FALSE)</f>
        <v>1</v>
      </c>
      <c r="G87" s="30">
        <f>ROUNDDOWN(((VLOOKUP('Cost per dose'!$AA$4,$C$97:$D$105,2,FALSE)*'Cost per dose'!$J$7)/3600),2)</f>
        <v>2.2200000000000002</v>
      </c>
      <c r="H87" s="31">
        <f>F87+G87</f>
        <v>3.22</v>
      </c>
      <c r="I87" s="11" t="s">
        <v>44</v>
      </c>
      <c r="J87" s="11" t="str">
        <f>CONCATENATE(H87," ",I87)</f>
        <v>3.22 hours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13"/>
      <c r="AM87" s="4"/>
      <c r="AN87" s="4"/>
      <c r="AO87" s="5"/>
    </row>
    <row r="88" spans="1:41" ht="15" customHeight="1">
      <c r="A88" s="32"/>
      <c r="B88" s="15">
        <v>1</v>
      </c>
      <c r="C88" s="11" t="str">
        <f>B88&amp;" "&amp;"hour"</f>
        <v>1 hour</v>
      </c>
      <c r="D88" s="28">
        <f t="shared" si="36"/>
        <v>1</v>
      </c>
      <c r="E88" s="15">
        <v>2</v>
      </c>
      <c r="F88" s="33">
        <f>VLOOKUP('Cost per dose'!$AA$2,$C$87:$D$95,2,FALSE)*E88</f>
        <v>2</v>
      </c>
      <c r="G88" s="34">
        <f>G87*2</f>
        <v>4.4400000000000004</v>
      </c>
      <c r="H88" s="35">
        <f>F88+G88</f>
        <v>6.44</v>
      </c>
      <c r="I88" s="11" t="s">
        <v>44</v>
      </c>
      <c r="J88" s="11" t="str">
        <f>CONCATENATE(H88," ",I88)</f>
        <v>6.44 hours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13"/>
      <c r="AM88" s="4"/>
      <c r="AN88" s="4"/>
      <c r="AO88" s="5"/>
    </row>
    <row r="89" spans="1:41" ht="15" customHeight="1">
      <c r="A89" s="32"/>
      <c r="B89" s="15">
        <v>2</v>
      </c>
      <c r="C89" s="11" t="str">
        <f t="shared" ref="C89:C95" si="37">B89&amp;" "&amp;"hours"</f>
        <v>2 hours</v>
      </c>
      <c r="D89" s="28">
        <f t="shared" si="36"/>
        <v>2</v>
      </c>
      <c r="E89" s="15">
        <v>3</v>
      </c>
      <c r="F89" s="36">
        <f>VLOOKUP('Cost per dose'!$AA$2,$C$87:$D$95,2,FALSE)*E89</f>
        <v>3</v>
      </c>
      <c r="G89" s="37">
        <f>G87*3</f>
        <v>6.66</v>
      </c>
      <c r="H89" s="38">
        <f>F89+G89</f>
        <v>9.66</v>
      </c>
      <c r="I89" s="11" t="s">
        <v>44</v>
      </c>
      <c r="J89" s="11" t="str">
        <f>CONCATENATE(H89," ",I89)</f>
        <v>9.66 hours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13"/>
      <c r="AM89" s="4"/>
      <c r="AN89" s="4"/>
      <c r="AO89" s="5"/>
    </row>
    <row r="90" spans="1:41" ht="15" customHeight="1">
      <c r="A90" s="32"/>
      <c r="B90" s="15">
        <v>3</v>
      </c>
      <c r="C90" s="11" t="str">
        <f t="shared" si="37"/>
        <v>3 hours</v>
      </c>
      <c r="D90" s="28">
        <f t="shared" si="36"/>
        <v>3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13"/>
      <c r="AM90" s="4"/>
      <c r="AN90" s="4"/>
      <c r="AO90" s="5"/>
    </row>
    <row r="91" spans="1:41" ht="15" customHeight="1">
      <c r="A91" s="32"/>
      <c r="B91" s="15">
        <v>4</v>
      </c>
      <c r="C91" s="11" t="str">
        <f t="shared" si="37"/>
        <v>4 hours</v>
      </c>
      <c r="D91" s="28">
        <f t="shared" si="36"/>
        <v>4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13"/>
      <c r="AM91" s="4"/>
      <c r="AN91" s="4"/>
      <c r="AO91" s="5"/>
    </row>
    <row r="92" spans="1:41" ht="15" customHeight="1">
      <c r="A92" s="32"/>
      <c r="B92" s="15">
        <v>5</v>
      </c>
      <c r="C92" s="11" t="str">
        <f t="shared" si="37"/>
        <v>5 hours</v>
      </c>
      <c r="D92" s="28">
        <f t="shared" si="36"/>
        <v>5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13"/>
      <c r="AM92" s="4"/>
      <c r="AN92" s="4"/>
      <c r="AO92" s="5"/>
    </row>
    <row r="93" spans="1:41" ht="15" customHeight="1">
      <c r="A93" s="32"/>
      <c r="B93" s="15">
        <v>6</v>
      </c>
      <c r="C93" s="11" t="str">
        <f t="shared" si="37"/>
        <v>6 hours</v>
      </c>
      <c r="D93" s="28">
        <f t="shared" si="36"/>
        <v>6</v>
      </c>
      <c r="E93" s="9"/>
      <c r="F93" s="9"/>
      <c r="G93" s="9"/>
      <c r="H93" s="11" t="s">
        <v>45</v>
      </c>
      <c r="I93" s="39" t="s">
        <v>46</v>
      </c>
      <c r="J93" s="9"/>
      <c r="K93" s="27"/>
      <c r="L93" s="11" t="s">
        <v>47</v>
      </c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40"/>
      <c r="AM93" s="7"/>
      <c r="AN93" s="7"/>
      <c r="AO93" s="8"/>
    </row>
    <row r="94" spans="1:41" ht="15" customHeight="1">
      <c r="A94" s="41"/>
      <c r="B94" s="15">
        <v>7</v>
      </c>
      <c r="C94" s="11" t="str">
        <f t="shared" si="37"/>
        <v>7 hours</v>
      </c>
      <c r="D94" s="28">
        <f t="shared" si="36"/>
        <v>7</v>
      </c>
      <c r="E94" s="11" t="s">
        <v>24</v>
      </c>
      <c r="F94" s="42">
        <f>ROUND('Cost per dose'!G10/'Cost per dose'!L10,1)</f>
        <v>6.3</v>
      </c>
      <c r="G94" s="43" t="s">
        <v>91</v>
      </c>
      <c r="H94" s="11" t="str">
        <f>CONCATENATE(F94,G94)</f>
        <v>6.3c</v>
      </c>
      <c r="I94" s="44">
        <f>('Cost per dose'!T10/'Cost per dose'!$J$7)*100</f>
        <v>4.511111111111112</v>
      </c>
      <c r="J94" s="45">
        <f>ROUND(I94+F94,1)</f>
        <v>10.8</v>
      </c>
      <c r="K94" s="46" t="s">
        <v>91</v>
      </c>
      <c r="L94" s="11" t="str">
        <f>CONCATENATE(J94,K94)</f>
        <v>10.8c</v>
      </c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spans="1:41" ht="15" customHeight="1">
      <c r="A95" s="9"/>
      <c r="B95" s="15">
        <v>8</v>
      </c>
      <c r="C95" s="11" t="str">
        <f t="shared" si="37"/>
        <v>8 hours</v>
      </c>
      <c r="D95" s="28">
        <f t="shared" si="36"/>
        <v>8</v>
      </c>
      <c r="E95" s="9"/>
      <c r="F95" s="47"/>
      <c r="G95" s="6"/>
      <c r="H95" s="48"/>
      <c r="I95" s="4"/>
      <c r="J95" s="49"/>
      <c r="K95" s="6"/>
      <c r="L95" s="50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spans="1:41" ht="15" customHeight="1">
      <c r="A96" s="9"/>
      <c r="B96" s="51" t="s">
        <v>48</v>
      </c>
      <c r="C96" s="52"/>
      <c r="D96" s="53"/>
      <c r="E96" s="11" t="s">
        <v>49</v>
      </c>
      <c r="F96" s="54">
        <f>ROUND('Cost per dose'!G12/'Cost per dose'!L12,1)</f>
        <v>7.6</v>
      </c>
      <c r="G96" s="55" t="s">
        <v>91</v>
      </c>
      <c r="H96" s="11" t="str">
        <f>CONCATENATE(F96,G96)</f>
        <v>7.6c</v>
      </c>
      <c r="I96" s="44">
        <f>('Cost per dose'!T12/'Cost per dose'!$J$7)*100</f>
        <v>4.511111111111112</v>
      </c>
      <c r="J96" s="45">
        <f>ROUND(I96+F96,1)</f>
        <v>12.1</v>
      </c>
      <c r="K96" s="46" t="s">
        <v>91</v>
      </c>
      <c r="L96" s="11" t="str">
        <f>CONCATENATE(J96,K96)</f>
        <v>12.1c</v>
      </c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spans="1:41" ht="15" customHeight="1">
      <c r="A97" s="9"/>
      <c r="B97" s="15">
        <v>7</v>
      </c>
      <c r="C97" s="11" t="str">
        <f t="shared" ref="C97:C105" si="38">B97&amp;" "&amp;"seconds"</f>
        <v>7 seconds</v>
      </c>
      <c r="D97" s="28">
        <f t="shared" ref="D97:D105" si="39">B97</f>
        <v>7</v>
      </c>
      <c r="E97" s="9"/>
      <c r="F97" s="47"/>
      <c r="G97" s="6"/>
      <c r="H97" s="48"/>
      <c r="I97" s="4"/>
      <c r="J97" s="49"/>
      <c r="K97" s="6"/>
      <c r="L97" s="50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</row>
    <row r="98" spans="1:41" ht="15" customHeight="1">
      <c r="A98" s="9"/>
      <c r="B98" s="15">
        <v>8</v>
      </c>
      <c r="C98" s="11" t="str">
        <f t="shared" si="38"/>
        <v>8 seconds</v>
      </c>
      <c r="D98" s="28">
        <f t="shared" si="39"/>
        <v>8</v>
      </c>
      <c r="E98" s="11" t="s">
        <v>27</v>
      </c>
      <c r="F98" s="54">
        <f>ROUND('Cost per dose'!G14/'Cost per dose'!L14,1)</f>
        <v>10.199999999999999</v>
      </c>
      <c r="G98" s="55" t="s">
        <v>91</v>
      </c>
      <c r="H98" s="11" t="str">
        <f>CONCATENATE(F98,G98)</f>
        <v>10.2c</v>
      </c>
      <c r="I98" s="44">
        <f>('Cost per dose'!T14/'Cost per dose'!$J$7)*100</f>
        <v>4.511111111111112</v>
      </c>
      <c r="J98" s="45">
        <f>ROUND(I98+F98,1)</f>
        <v>14.7</v>
      </c>
      <c r="K98" s="46" t="s">
        <v>91</v>
      </c>
      <c r="L98" s="11" t="str">
        <f>CONCATENATE(J98,K98)</f>
        <v>14.7c</v>
      </c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spans="1:41" ht="15" customHeight="1">
      <c r="A99" s="9"/>
      <c r="B99" s="15">
        <v>9</v>
      </c>
      <c r="C99" s="11" t="str">
        <f t="shared" si="38"/>
        <v>9 seconds</v>
      </c>
      <c r="D99" s="28">
        <f t="shared" si="39"/>
        <v>9</v>
      </c>
      <c r="E99" s="9"/>
      <c r="F99" s="47"/>
      <c r="G99" s="6"/>
      <c r="H99" s="48"/>
      <c r="I99" s="4"/>
      <c r="J99" s="49"/>
      <c r="K99" s="6"/>
      <c r="L99" s="50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</row>
    <row r="100" spans="1:41" ht="15" customHeight="1">
      <c r="A100" s="9"/>
      <c r="B100" s="15">
        <v>10</v>
      </c>
      <c r="C100" s="11" t="str">
        <f t="shared" si="38"/>
        <v>10 seconds</v>
      </c>
      <c r="D100" s="28">
        <f t="shared" si="39"/>
        <v>10</v>
      </c>
      <c r="E100" s="11" t="s">
        <v>28</v>
      </c>
      <c r="F100" s="54">
        <f>ROUND('Cost per dose'!G16/'Cost per dose'!L16,1)</f>
        <v>8.1999999999999993</v>
      </c>
      <c r="G100" s="55" t="s">
        <v>91</v>
      </c>
      <c r="H100" s="11" t="str">
        <f>CONCATENATE(F100,G100)</f>
        <v>8.2c</v>
      </c>
      <c r="I100" s="44">
        <f>('Cost per dose'!T16/'Cost per dose'!$J$7)*100</f>
        <v>13.533333333333333</v>
      </c>
      <c r="J100" s="45">
        <f>ROUND(I100+F100,1)</f>
        <v>21.7</v>
      </c>
      <c r="K100" s="46" t="s">
        <v>91</v>
      </c>
      <c r="L100" s="11" t="str">
        <f>CONCATENATE(J100,K100)</f>
        <v>21.7c</v>
      </c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</row>
    <row r="101" spans="1:41" ht="15" customHeight="1">
      <c r="A101" s="9"/>
      <c r="B101" s="15">
        <v>11</v>
      </c>
      <c r="C101" s="11" t="str">
        <f t="shared" si="38"/>
        <v>11 seconds</v>
      </c>
      <c r="D101" s="28">
        <f t="shared" si="39"/>
        <v>11</v>
      </c>
      <c r="E101" s="9"/>
      <c r="F101" s="47"/>
      <c r="G101" s="6"/>
      <c r="H101" s="48"/>
      <c r="I101" s="4"/>
      <c r="J101" s="49"/>
      <c r="K101" s="6"/>
      <c r="L101" s="50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</row>
    <row r="102" spans="1:41" ht="15" customHeight="1">
      <c r="A102" s="9"/>
      <c r="B102" s="15">
        <v>12</v>
      </c>
      <c r="C102" s="11" t="str">
        <f t="shared" si="38"/>
        <v>12 seconds</v>
      </c>
      <c r="D102" s="28">
        <f t="shared" si="39"/>
        <v>12</v>
      </c>
      <c r="E102" s="11" t="s">
        <v>30</v>
      </c>
      <c r="F102" s="54" t="e">
        <f>ROUNDDOWN('Cost per dose'!#REF!/'Cost per dose'!#REF!,1)</f>
        <v>#REF!</v>
      </c>
      <c r="G102" s="55" t="s">
        <v>91</v>
      </c>
      <c r="H102" s="11" t="e">
        <f>CONCATENATE(F102,G102)</f>
        <v>#REF!</v>
      </c>
      <c r="I102" s="44" t="e">
        <f>('Cost per dose'!#REF!/'Cost per dose'!$J$7)*100</f>
        <v>#REF!</v>
      </c>
      <c r="J102" s="45" t="e">
        <f>ROUND(I102+F102,1)</f>
        <v>#REF!</v>
      </c>
      <c r="K102" s="46" t="s">
        <v>91</v>
      </c>
      <c r="L102" s="11" t="e">
        <f>CONCATENATE(J102,K102)</f>
        <v>#REF!</v>
      </c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</row>
    <row r="103" spans="1:41" ht="15" customHeight="1">
      <c r="A103" s="9"/>
      <c r="B103" s="15">
        <v>13</v>
      </c>
      <c r="C103" s="11" t="str">
        <f t="shared" si="38"/>
        <v>13 seconds</v>
      </c>
      <c r="D103" s="28">
        <f t="shared" si="39"/>
        <v>13</v>
      </c>
      <c r="E103" s="9"/>
      <c r="F103" s="47"/>
      <c r="G103" s="6"/>
      <c r="H103" s="48"/>
      <c r="I103" s="4"/>
      <c r="J103" s="49"/>
      <c r="K103" s="6"/>
      <c r="L103" s="50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</row>
    <row r="104" spans="1:41" ht="15" customHeight="1">
      <c r="A104" s="9"/>
      <c r="B104" s="15">
        <v>14</v>
      </c>
      <c r="C104" s="11" t="str">
        <f t="shared" si="38"/>
        <v>14 seconds</v>
      </c>
      <c r="D104" s="28">
        <f t="shared" si="39"/>
        <v>14</v>
      </c>
      <c r="E104" s="11" t="s">
        <v>29</v>
      </c>
      <c r="F104" s="56">
        <f>ROUNDDOWN('Cost per dose'!G18/'Cost per dose'!L18,1)</f>
        <v>8</v>
      </c>
      <c r="G104" s="57" t="s">
        <v>91</v>
      </c>
      <c r="H104" s="11" t="str">
        <f>CONCATENATE(F104,G104)</f>
        <v>8c</v>
      </c>
      <c r="I104" s="58">
        <f>('Cost per dose'!T18/'Cost per dose'!$J$7)*100</f>
        <v>13.533333333333333</v>
      </c>
      <c r="J104" s="45">
        <f>ROUND(I104+F104,1)</f>
        <v>21.5</v>
      </c>
      <c r="K104" s="59" t="s">
        <v>91</v>
      </c>
      <c r="L104" s="11" t="str">
        <f>CONCATENATE(J104,K104)</f>
        <v>21.5c</v>
      </c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</row>
    <row r="105" spans="1:41" ht="15" customHeight="1">
      <c r="A105" s="9"/>
      <c r="B105" s="15">
        <v>15</v>
      </c>
      <c r="C105" s="11" t="str">
        <f t="shared" si="38"/>
        <v>15 seconds</v>
      </c>
      <c r="D105" s="28">
        <f t="shared" si="39"/>
        <v>15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10"/>
      <c r="AM105" s="2"/>
      <c r="AN105" s="2"/>
      <c r="AO105" s="3"/>
    </row>
    <row r="106" spans="1:41" ht="15" customHeight="1">
      <c r="A106" s="9"/>
      <c r="B106" s="9"/>
      <c r="C106" s="16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13"/>
      <c r="AM106" s="4"/>
      <c r="AN106" s="4"/>
      <c r="AO106" s="5"/>
    </row>
    <row r="107" spans="1:41" ht="15" customHeight="1">
      <c r="A107" s="9"/>
      <c r="B107" s="9"/>
      <c r="C107" s="16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13"/>
      <c r="AM107" s="4"/>
      <c r="AN107" s="4"/>
      <c r="AO107" s="5"/>
    </row>
    <row r="108" spans="1:41" ht="15" customHeight="1">
      <c r="A108" s="9"/>
      <c r="B108" s="9"/>
      <c r="C108" s="16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13"/>
      <c r="AM108" s="4"/>
      <c r="AN108" s="4"/>
      <c r="AO108" s="5"/>
    </row>
    <row r="109" spans="1:41" ht="15" customHeight="1">
      <c r="A109" s="9"/>
      <c r="B109" s="9"/>
      <c r="C109" s="16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13"/>
      <c r="AM109" s="4"/>
      <c r="AN109" s="4"/>
      <c r="AO109" s="5"/>
    </row>
    <row r="110" spans="1:41" ht="15" customHeight="1">
      <c r="A110" s="9"/>
      <c r="B110" s="9"/>
      <c r="C110" s="16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13"/>
      <c r="AM110" s="4"/>
      <c r="AN110" s="4"/>
      <c r="AO110" s="5"/>
    </row>
    <row r="111" spans="1:41" ht="15" customHeight="1">
      <c r="A111" s="9"/>
      <c r="B111" s="9"/>
      <c r="C111" s="16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13"/>
      <c r="AM111" s="4"/>
      <c r="AN111" s="4"/>
      <c r="AO111" s="5"/>
    </row>
    <row r="112" spans="1:41" ht="15" customHeight="1">
      <c r="A112" s="9"/>
      <c r="B112" s="9"/>
      <c r="C112" s="16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13"/>
      <c r="AM112" s="4"/>
      <c r="AN112" s="4"/>
      <c r="AO112" s="5"/>
    </row>
    <row r="113" spans="1:41" ht="15" customHeight="1">
      <c r="A113" s="9"/>
      <c r="B113" s="9"/>
      <c r="C113" s="16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13"/>
      <c r="AM113" s="4"/>
      <c r="AN113" s="4"/>
      <c r="AO113" s="5"/>
    </row>
    <row r="114" spans="1:41" ht="15" customHeight="1">
      <c r="A114" s="9"/>
      <c r="B114" s="9"/>
      <c r="C114" s="16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13"/>
      <c r="AM114" s="4"/>
      <c r="AN114" s="4"/>
      <c r="AO114" s="5"/>
    </row>
    <row r="115" spans="1:41" ht="15" customHeight="1">
      <c r="A115" s="9"/>
      <c r="B115" s="9"/>
      <c r="C115" s="16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13"/>
      <c r="AM115" s="4"/>
      <c r="AN115" s="4"/>
      <c r="AO115" s="5"/>
    </row>
    <row r="116" spans="1:41" ht="15" customHeight="1">
      <c r="A116" s="9"/>
      <c r="B116" s="9"/>
      <c r="C116" s="16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13"/>
      <c r="AM116" s="4"/>
      <c r="AN116" s="4"/>
      <c r="AO116" s="5"/>
    </row>
    <row r="117" spans="1:41" ht="15" customHeight="1">
      <c r="A117" s="9"/>
      <c r="B117" s="9"/>
      <c r="C117" s="16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13"/>
      <c r="AM117" s="4"/>
      <c r="AN117" s="4"/>
      <c r="AO117" s="5"/>
    </row>
    <row r="118" spans="1:41" ht="15" customHeight="1">
      <c r="A118" s="9"/>
      <c r="B118" s="9"/>
      <c r="C118" s="16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13"/>
      <c r="AM118" s="4"/>
      <c r="AN118" s="4"/>
      <c r="AO118" s="5"/>
    </row>
    <row r="119" spans="1:41" ht="15" customHeight="1">
      <c r="A119" s="9"/>
      <c r="B119" s="9"/>
      <c r="C119" s="16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13"/>
      <c r="AM119" s="4"/>
      <c r="AN119" s="4"/>
      <c r="AO119" s="5"/>
    </row>
    <row r="120" spans="1:41" ht="15" customHeight="1">
      <c r="A120" s="9"/>
      <c r="B120" s="9"/>
      <c r="C120" s="16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13"/>
      <c r="AM120" s="4"/>
      <c r="AN120" s="4"/>
      <c r="AO120" s="5"/>
    </row>
    <row r="121" spans="1:41" ht="15" customHeight="1">
      <c r="A121" s="9"/>
      <c r="B121" s="9"/>
      <c r="C121" s="16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13"/>
      <c r="AM121" s="4"/>
      <c r="AN121" s="4"/>
      <c r="AO121" s="5"/>
    </row>
    <row r="122" spans="1:41" ht="15" customHeight="1">
      <c r="A122" s="9"/>
      <c r="B122" s="9"/>
      <c r="C122" s="16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13"/>
      <c r="AM122" s="4"/>
      <c r="AN122" s="4"/>
      <c r="AO122" s="5"/>
    </row>
    <row r="123" spans="1:41" ht="15" customHeight="1">
      <c r="A123" s="9"/>
      <c r="B123" s="9"/>
      <c r="C123" s="16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13"/>
      <c r="AM123" s="4"/>
      <c r="AN123" s="4"/>
      <c r="AO123" s="5"/>
    </row>
    <row r="124" spans="1:41" ht="15" customHeight="1">
      <c r="A124" s="9"/>
      <c r="B124" s="9"/>
      <c r="C124" s="16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13"/>
      <c r="AM124" s="4"/>
      <c r="AN124" s="4"/>
      <c r="AO124" s="5"/>
    </row>
    <row r="125" spans="1:41" ht="15" customHeight="1">
      <c r="A125" s="9"/>
      <c r="B125" s="9"/>
      <c r="C125" s="16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13"/>
      <c r="AM125" s="4"/>
      <c r="AN125" s="4"/>
      <c r="AO125" s="5"/>
    </row>
    <row r="126" spans="1:41" ht="15" customHeight="1">
      <c r="A126" s="9"/>
      <c r="B126" s="9"/>
      <c r="C126" s="16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13"/>
      <c r="AM126" s="4"/>
      <c r="AN126" s="4"/>
      <c r="AO126" s="5"/>
    </row>
    <row r="127" spans="1:41" ht="15" customHeight="1">
      <c r="A127" s="9"/>
      <c r="B127" s="9"/>
      <c r="C127" s="16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13"/>
      <c r="AM127" s="4"/>
      <c r="AN127" s="4"/>
      <c r="AO127" s="5"/>
    </row>
    <row r="128" spans="1:41" ht="15" customHeight="1">
      <c r="A128" s="9"/>
      <c r="B128" s="9"/>
      <c r="C128" s="16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13"/>
      <c r="AM128" s="4"/>
      <c r="AN128" s="4"/>
      <c r="AO128" s="5"/>
    </row>
    <row r="129" spans="1:41" ht="15" customHeight="1">
      <c r="A129" s="9"/>
      <c r="B129" s="9"/>
      <c r="C129" s="16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13"/>
      <c r="AM129" s="4"/>
      <c r="AN129" s="4"/>
      <c r="AO129" s="5"/>
    </row>
    <row r="130" spans="1:41" ht="15" customHeight="1">
      <c r="A130" s="9"/>
      <c r="B130" s="9"/>
      <c r="C130" s="16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13"/>
      <c r="AM130" s="4"/>
      <c r="AN130" s="4"/>
      <c r="AO130" s="5"/>
    </row>
    <row r="131" spans="1:41" ht="15" customHeight="1">
      <c r="A131" s="9"/>
      <c r="B131" s="9"/>
      <c r="C131" s="16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13"/>
      <c r="AM131" s="4"/>
      <c r="AN131" s="4"/>
      <c r="AO131" s="5"/>
    </row>
    <row r="132" spans="1:41" ht="15" customHeight="1">
      <c r="A132" s="9"/>
      <c r="B132" s="9"/>
      <c r="C132" s="16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13"/>
      <c r="AM132" s="4"/>
      <c r="AN132" s="4"/>
      <c r="AO132" s="5"/>
    </row>
    <row r="133" spans="1:41" ht="15" customHeight="1">
      <c r="A133" s="9"/>
      <c r="B133" s="9"/>
      <c r="C133" s="16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13"/>
      <c r="AM133" s="4"/>
      <c r="AN133" s="4"/>
      <c r="AO133" s="5"/>
    </row>
    <row r="134" spans="1:41" ht="15" customHeight="1">
      <c r="A134" s="9"/>
      <c r="B134" s="9"/>
      <c r="C134" s="16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13"/>
      <c r="AM134" s="4"/>
      <c r="AN134" s="4"/>
      <c r="AO134" s="5"/>
    </row>
    <row r="135" spans="1:41" ht="15" customHeight="1">
      <c r="A135" s="9"/>
      <c r="B135" s="9"/>
      <c r="C135" s="16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13"/>
      <c r="AM135" s="4"/>
      <c r="AN135" s="4"/>
      <c r="AO135" s="5"/>
    </row>
    <row r="136" spans="1:41" ht="15" customHeight="1">
      <c r="A136" s="9"/>
      <c r="B136" s="9"/>
      <c r="C136" s="16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13"/>
      <c r="AM136" s="4"/>
      <c r="AN136" s="4"/>
      <c r="AO136" s="5"/>
    </row>
    <row r="137" spans="1:41" ht="15" customHeight="1">
      <c r="A137" s="9"/>
      <c r="B137" s="9"/>
      <c r="C137" s="16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13"/>
      <c r="AM137" s="4"/>
      <c r="AN137" s="4"/>
      <c r="AO137" s="5"/>
    </row>
    <row r="138" spans="1:41" ht="15" customHeight="1">
      <c r="A138" s="9"/>
      <c r="B138" s="9"/>
      <c r="C138" s="16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13"/>
      <c r="AM138" s="4"/>
      <c r="AN138" s="4"/>
      <c r="AO138" s="5"/>
    </row>
    <row r="139" spans="1:41" ht="15" customHeight="1">
      <c r="A139" s="9"/>
      <c r="B139" s="9"/>
      <c r="C139" s="16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13"/>
      <c r="AM139" s="4"/>
      <c r="AN139" s="4"/>
      <c r="AO139" s="5"/>
    </row>
    <row r="140" spans="1:41" ht="15" customHeight="1">
      <c r="A140" s="9"/>
      <c r="B140" s="9"/>
      <c r="C140" s="16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13"/>
      <c r="AM140" s="4"/>
      <c r="AN140" s="4"/>
      <c r="AO140" s="5"/>
    </row>
    <row r="141" spans="1:41" ht="15" customHeight="1">
      <c r="A141" s="9"/>
      <c r="B141" s="9"/>
      <c r="C141" s="16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13"/>
      <c r="AM141" s="4"/>
      <c r="AN141" s="4"/>
      <c r="AO141" s="5"/>
    </row>
    <row r="142" spans="1:41" ht="15" customHeight="1">
      <c r="A142" s="9"/>
      <c r="B142" s="9"/>
      <c r="C142" s="16"/>
      <c r="D142" s="9"/>
      <c r="E142" s="9"/>
      <c r="F142" s="9"/>
      <c r="G142" s="60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7"/>
      <c r="AM142" s="7"/>
      <c r="AN142" s="7"/>
      <c r="AO142" s="8"/>
    </row>
  </sheetData>
  <sheetProtection algorithmName="SHA-512" hashValue="QKaf9x0AiWnS5Nr+ZLge1fKD+jXFELB7s2W79z71we/VAZMyS46LHkZhZI/LAkvuwN40bjiwaAnb7OSWNBa9fQ==" saltValue="fgzcs187py8dutMF91+MvA==" spinCount="100000" sheet="1" objects="1" scenarios="1"/>
  <mergeCells count="7">
    <mergeCell ref="S2:T2"/>
    <mergeCell ref="S20:T20"/>
    <mergeCell ref="S18:T18"/>
    <mergeCell ref="S7:T7"/>
    <mergeCell ref="S5:T5"/>
    <mergeCell ref="S16:T16"/>
    <mergeCell ref="S3:T3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25"/>
  <sheetViews>
    <sheetView showGridLines="0" zoomScale="50" zoomScaleNormal="50" workbookViewId="0">
      <selection activeCell="E28" sqref="E28"/>
    </sheetView>
  </sheetViews>
  <sheetFormatPr defaultColWidth="8.77734375" defaultRowHeight="46.5" customHeight="1"/>
  <cols>
    <col min="1" max="1" width="5" style="1" customWidth="1"/>
    <col min="2" max="2" width="43.109375" style="1" customWidth="1"/>
    <col min="3" max="38" width="7.6640625" style="1" customWidth="1"/>
    <col min="39" max="39" width="4.44140625" style="1" customWidth="1"/>
    <col min="40" max="256" width="8.77734375" style="1" customWidth="1"/>
  </cols>
  <sheetData>
    <row r="1" spans="1:39" ht="46.2" customHeight="1">
      <c r="A1" s="285" t="s">
        <v>50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15"/>
    </row>
    <row r="2" spans="1:39" ht="24" customHeight="1">
      <c r="A2" s="216"/>
      <c r="B2" s="165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7"/>
      <c r="AM2" s="217"/>
    </row>
    <row r="3" spans="1:39" ht="30">
      <c r="A3" s="216"/>
      <c r="B3" s="203"/>
      <c r="C3" s="283" t="s">
        <v>51</v>
      </c>
      <c r="D3" s="289"/>
      <c r="E3" s="289"/>
      <c r="F3" s="290"/>
      <c r="G3" s="283" t="s">
        <v>52</v>
      </c>
      <c r="H3" s="283"/>
      <c r="I3" s="283"/>
      <c r="J3" s="284"/>
      <c r="K3" s="283" t="s">
        <v>53</v>
      </c>
      <c r="L3" s="283"/>
      <c r="M3" s="283"/>
      <c r="N3" s="287"/>
      <c r="O3" s="288" t="s">
        <v>54</v>
      </c>
      <c r="P3" s="283"/>
      <c r="Q3" s="283"/>
      <c r="R3" s="284"/>
      <c r="S3" s="283" t="s">
        <v>55</v>
      </c>
      <c r="T3" s="283"/>
      <c r="U3" s="283"/>
      <c r="V3" s="284"/>
      <c r="W3" s="283" t="s">
        <v>56</v>
      </c>
      <c r="X3" s="283"/>
      <c r="Y3" s="283"/>
      <c r="Z3" s="284"/>
      <c r="AA3" s="283" t="s">
        <v>57</v>
      </c>
      <c r="AB3" s="283"/>
      <c r="AC3" s="283"/>
      <c r="AD3" s="284"/>
      <c r="AE3" s="283" t="s">
        <v>58</v>
      </c>
      <c r="AF3" s="283"/>
      <c r="AG3" s="283"/>
      <c r="AH3" s="284"/>
      <c r="AI3" s="283" t="s">
        <v>59</v>
      </c>
      <c r="AJ3" s="283"/>
      <c r="AK3" s="283"/>
      <c r="AL3" s="284"/>
      <c r="AM3" s="217"/>
    </row>
    <row r="4" spans="1:39" ht="46.2" hidden="1">
      <c r="A4" s="216"/>
      <c r="B4" s="204"/>
      <c r="C4" s="61">
        <f>IF('Cost per dose'!$P$8&lt;=Sheet2!B$69,1,0)</f>
        <v>0</v>
      </c>
      <c r="D4" s="61">
        <f>IF('Cost per dose'!$P$8&lt;=Sheet2!C$69,1,0)</f>
        <v>0</v>
      </c>
      <c r="E4" s="61">
        <f>IF('Cost per dose'!$P$8&lt;=Sheet2!D$69,1,0)</f>
        <v>0</v>
      </c>
      <c r="F4" s="162">
        <f>IF('Cost per dose'!$P$8&lt;=Sheet2!E$69,1,0)</f>
        <v>0</v>
      </c>
      <c r="G4" s="61">
        <f>IF('Cost per dose'!$P$8&lt;=Sheet2!F$69,1,0)</f>
        <v>0</v>
      </c>
      <c r="H4" s="61">
        <f>IF('Cost per dose'!$P$8&lt;=Sheet2!G$69,1,0)</f>
        <v>0</v>
      </c>
      <c r="I4" s="61">
        <f>IF('Cost per dose'!$P$8&lt;=Sheet2!H$69,1,0)</f>
        <v>0</v>
      </c>
      <c r="J4" s="162">
        <f>IF('Cost per dose'!$P$8&lt;=Sheet2!I$69,1,0)</f>
        <v>0</v>
      </c>
      <c r="K4" s="61">
        <f>IF('Cost per dose'!$P$8&lt;=Sheet2!J$69,1,0)</f>
        <v>1</v>
      </c>
      <c r="L4" s="61">
        <f>IF('Cost per dose'!$P$8&lt;=Sheet2!K$69,1,0)</f>
        <v>1</v>
      </c>
      <c r="M4" s="61">
        <f>IF('Cost per dose'!$P$8&lt;=Sheet2!L$69,1,0)</f>
        <v>1</v>
      </c>
      <c r="N4" s="62">
        <f>IF('Cost per dose'!$P$8&lt;=Sheet2!M$69,1,0)</f>
        <v>1</v>
      </c>
      <c r="O4" s="63">
        <f>IF('Cost per dose'!$P$8&lt;=Sheet2!N$69,1,0)</f>
        <v>1</v>
      </c>
      <c r="P4" s="61">
        <f>IF('Cost per dose'!$P$8&lt;=Sheet2!O$69,1,0)</f>
        <v>1</v>
      </c>
      <c r="Q4" s="61">
        <f>IF('Cost per dose'!$P$8&lt;=Sheet2!P$69,1,0)</f>
        <v>1</v>
      </c>
      <c r="R4" s="162">
        <f>IF('Cost per dose'!$P$8&lt;=Sheet2!Q$69,1,0)</f>
        <v>1</v>
      </c>
      <c r="S4" s="61">
        <f>IF('Cost per dose'!$P$8&lt;=Sheet2!R$69,1,0)</f>
        <v>1</v>
      </c>
      <c r="T4" s="61">
        <f>IF('Cost per dose'!$P$8&lt;=Sheet2!S$69,1,0)</f>
        <v>1</v>
      </c>
      <c r="U4" s="61">
        <f>IF('Cost per dose'!$P$8&lt;=Sheet2!T$69,1,0)</f>
        <v>1</v>
      </c>
      <c r="V4" s="162">
        <f>IF('Cost per dose'!$P$8&lt;=Sheet2!U$69,1,0)</f>
        <v>1</v>
      </c>
      <c r="W4" s="61">
        <f>IF('Cost per dose'!$P$8&lt;=Sheet2!V$69,1,0)</f>
        <v>1</v>
      </c>
      <c r="X4" s="61">
        <f>IF('Cost per dose'!$P$8&lt;=Sheet2!W$69,1,0)</f>
        <v>1</v>
      </c>
      <c r="Y4" s="61">
        <f>IF('Cost per dose'!$P$8&lt;=Sheet2!X$69,1,0)</f>
        <v>1</v>
      </c>
      <c r="Z4" s="162">
        <f>IF('Cost per dose'!$P$8&lt;=Sheet2!Y$69,1,0)</f>
        <v>1</v>
      </c>
      <c r="AA4" s="61">
        <f>IF('Cost per dose'!$P$8&lt;=Sheet2!Z$69,1,0)</f>
        <v>1</v>
      </c>
      <c r="AB4" s="61">
        <f>IF('Cost per dose'!$P$8&lt;=Sheet2!AA$69,1,0)</f>
        <v>1</v>
      </c>
      <c r="AC4" s="61">
        <f>IF('Cost per dose'!$P$8&lt;=Sheet2!AB$69,1,0)</f>
        <v>1</v>
      </c>
      <c r="AD4" s="162">
        <f>IF('Cost per dose'!$P$8&lt;=Sheet2!AC$69,1,0)</f>
        <v>1</v>
      </c>
      <c r="AE4" s="61">
        <f>IF('Cost per dose'!$P$8&lt;=Sheet2!AD$69,1,0)</f>
        <v>1</v>
      </c>
      <c r="AF4" s="61">
        <f>IF('Cost per dose'!$P$8&lt;=Sheet2!AE$69,1,0)</f>
        <v>1</v>
      </c>
      <c r="AG4" s="61">
        <f>IF('Cost per dose'!$P$8&lt;=Sheet2!AF$69,1,0)</f>
        <v>1</v>
      </c>
      <c r="AH4" s="162">
        <f>IF('Cost per dose'!$P$8&lt;=Sheet2!AG$69,1,0)</f>
        <v>1</v>
      </c>
      <c r="AI4" s="61">
        <f>IF('Cost per dose'!$P$8&lt;=Sheet2!AH$69,1,0)</f>
        <v>1</v>
      </c>
      <c r="AJ4" s="61">
        <f>IF('Cost per dose'!$P$8&lt;=Sheet2!AI$69,1,0)</f>
        <v>1</v>
      </c>
      <c r="AK4" s="61">
        <f>IF('Cost per dose'!$P$8&lt;=Sheet2!AJ$69,1,0)</f>
        <v>1</v>
      </c>
      <c r="AL4" s="168"/>
      <c r="AM4" s="217"/>
    </row>
    <row r="5" spans="1:39" ht="18.45" hidden="1" customHeight="1">
      <c r="A5" s="216"/>
      <c r="B5" s="204"/>
      <c r="C5" s="61">
        <f t="shared" ref="C5:U5" si="0">IF(C4=0,0,1)</f>
        <v>0</v>
      </c>
      <c r="D5" s="61">
        <f t="shared" si="0"/>
        <v>0</v>
      </c>
      <c r="E5" s="61">
        <f t="shared" si="0"/>
        <v>0</v>
      </c>
      <c r="F5" s="162">
        <f t="shared" si="0"/>
        <v>0</v>
      </c>
      <c r="G5" s="61">
        <f t="shared" si="0"/>
        <v>0</v>
      </c>
      <c r="H5" s="61">
        <f t="shared" si="0"/>
        <v>0</v>
      </c>
      <c r="I5" s="61">
        <f t="shared" si="0"/>
        <v>0</v>
      </c>
      <c r="J5" s="162">
        <f t="shared" si="0"/>
        <v>0</v>
      </c>
      <c r="K5" s="61">
        <f t="shared" si="0"/>
        <v>1</v>
      </c>
      <c r="L5" s="61">
        <f t="shared" si="0"/>
        <v>1</v>
      </c>
      <c r="M5" s="61">
        <f t="shared" si="0"/>
        <v>1</v>
      </c>
      <c r="N5" s="62">
        <f t="shared" si="0"/>
        <v>1</v>
      </c>
      <c r="O5" s="63">
        <f t="shared" si="0"/>
        <v>1</v>
      </c>
      <c r="P5" s="61">
        <f t="shared" si="0"/>
        <v>1</v>
      </c>
      <c r="Q5" s="61">
        <f t="shared" si="0"/>
        <v>1</v>
      </c>
      <c r="R5" s="162">
        <f t="shared" si="0"/>
        <v>1</v>
      </c>
      <c r="S5" s="61">
        <f t="shared" si="0"/>
        <v>1</v>
      </c>
      <c r="T5" s="61">
        <f t="shared" si="0"/>
        <v>1</v>
      </c>
      <c r="U5" s="61">
        <f t="shared" si="0"/>
        <v>1</v>
      </c>
      <c r="V5" s="162">
        <f>IF('Cost per dose'!$AA$10&gt;=Sheet2!C70,1,0)</f>
        <v>1</v>
      </c>
      <c r="W5" s="61">
        <f>IF('Cost per dose'!$AA$10&gt;=Sheet2!D70,1,0)</f>
        <v>1</v>
      </c>
      <c r="X5" s="61">
        <f>IF('Cost per dose'!$AA$10&gt;=Sheet2!E70,1,0)</f>
        <v>1</v>
      </c>
      <c r="Y5" s="61">
        <f>IF('Cost per dose'!$AA$10&gt;=Sheet2!F70,1,0)</f>
        <v>1</v>
      </c>
      <c r="Z5" s="162">
        <f>IF('Cost per dose'!$AA$10&gt;=Sheet2!G70,1,0)</f>
        <v>1</v>
      </c>
      <c r="AA5" s="61">
        <f>IF('Cost per dose'!$AA$10&gt;=Sheet2!H70,1,0)</f>
        <v>1</v>
      </c>
      <c r="AB5" s="61">
        <f>IF('Cost per dose'!$AA$10&gt;=Sheet2!I70,1,0)</f>
        <v>1</v>
      </c>
      <c r="AC5" s="61">
        <f>IF('Cost per dose'!$AA$10&gt;=Sheet2!J70,1,0)</f>
        <v>1</v>
      </c>
      <c r="AD5" s="162">
        <f>IF('Cost per dose'!$AA$10&gt;=Sheet2!K70,1,0)</f>
        <v>0</v>
      </c>
      <c r="AE5" s="61">
        <f>IF('Cost per dose'!$AA$10&gt;=Sheet2!L70,1,0)</f>
        <v>0</v>
      </c>
      <c r="AF5" s="61">
        <f>IF('Cost per dose'!$AA$10&gt;=Sheet2!M70,1,0)</f>
        <v>0</v>
      </c>
      <c r="AG5" s="61">
        <f>IF('Cost per dose'!$AA$10&gt;=Sheet2!N70,1,0)</f>
        <v>0</v>
      </c>
      <c r="AH5" s="162">
        <f>IF('Cost per dose'!$AA$10&gt;=Sheet2!O70,1,0)</f>
        <v>0</v>
      </c>
      <c r="AI5" s="61">
        <f>IF('Cost per dose'!$AA$10&gt;=Sheet2!P70,1,0)</f>
        <v>0</v>
      </c>
      <c r="AJ5" s="61">
        <f>IF('Cost per dose'!$AA$10&gt;=Sheet2!Q70,1,0)</f>
        <v>0</v>
      </c>
      <c r="AK5" s="61">
        <f>IF('Cost per dose'!$AA$10&gt;=Sheet2!R70,1,0)</f>
        <v>0</v>
      </c>
      <c r="AL5" s="168"/>
      <c r="AM5" s="217"/>
    </row>
    <row r="6" spans="1:39" ht="69" customHeight="1">
      <c r="A6" s="216"/>
      <c r="B6" s="205"/>
      <c r="C6" s="64">
        <f t="shared" ref="C6:AL6" si="1">SUM(C4:C5)</f>
        <v>0</v>
      </c>
      <c r="D6" s="64">
        <f t="shared" si="1"/>
        <v>0</v>
      </c>
      <c r="E6" s="64">
        <f t="shared" si="1"/>
        <v>0</v>
      </c>
      <c r="F6" s="163">
        <f t="shared" si="1"/>
        <v>0</v>
      </c>
      <c r="G6" s="64">
        <f t="shared" si="1"/>
        <v>0</v>
      </c>
      <c r="H6" s="64">
        <f t="shared" si="1"/>
        <v>0</v>
      </c>
      <c r="I6" s="64">
        <f t="shared" si="1"/>
        <v>0</v>
      </c>
      <c r="J6" s="163">
        <f t="shared" si="1"/>
        <v>0</v>
      </c>
      <c r="K6" s="64">
        <f t="shared" si="1"/>
        <v>2</v>
      </c>
      <c r="L6" s="64">
        <f t="shared" si="1"/>
        <v>2</v>
      </c>
      <c r="M6" s="64">
        <f t="shared" si="1"/>
        <v>2</v>
      </c>
      <c r="N6" s="65">
        <f t="shared" si="1"/>
        <v>2</v>
      </c>
      <c r="O6" s="66">
        <f t="shared" si="1"/>
        <v>2</v>
      </c>
      <c r="P6" s="64">
        <f t="shared" si="1"/>
        <v>2</v>
      </c>
      <c r="Q6" s="64">
        <f t="shared" si="1"/>
        <v>2</v>
      </c>
      <c r="R6" s="163">
        <f t="shared" si="1"/>
        <v>2</v>
      </c>
      <c r="S6" s="64">
        <f t="shared" si="1"/>
        <v>2</v>
      </c>
      <c r="T6" s="64">
        <f t="shared" si="1"/>
        <v>2</v>
      </c>
      <c r="U6" s="64">
        <f t="shared" si="1"/>
        <v>2</v>
      </c>
      <c r="V6" s="163">
        <f t="shared" si="1"/>
        <v>2</v>
      </c>
      <c r="W6" s="64">
        <f t="shared" si="1"/>
        <v>2</v>
      </c>
      <c r="X6" s="64">
        <f t="shared" si="1"/>
        <v>2</v>
      </c>
      <c r="Y6" s="64">
        <f t="shared" si="1"/>
        <v>2</v>
      </c>
      <c r="Z6" s="163">
        <f t="shared" si="1"/>
        <v>2</v>
      </c>
      <c r="AA6" s="64">
        <f t="shared" si="1"/>
        <v>2</v>
      </c>
      <c r="AB6" s="64">
        <f t="shared" si="1"/>
        <v>2</v>
      </c>
      <c r="AC6" s="64">
        <f t="shared" si="1"/>
        <v>2</v>
      </c>
      <c r="AD6" s="163">
        <f t="shared" si="1"/>
        <v>1</v>
      </c>
      <c r="AE6" s="64">
        <f t="shared" si="1"/>
        <v>1</v>
      </c>
      <c r="AF6" s="64">
        <f t="shared" si="1"/>
        <v>1</v>
      </c>
      <c r="AG6" s="64">
        <f t="shared" si="1"/>
        <v>1</v>
      </c>
      <c r="AH6" s="163">
        <f t="shared" si="1"/>
        <v>1</v>
      </c>
      <c r="AI6" s="64">
        <f t="shared" si="1"/>
        <v>1</v>
      </c>
      <c r="AJ6" s="64">
        <f t="shared" si="1"/>
        <v>1</v>
      </c>
      <c r="AK6" s="64">
        <f t="shared" si="1"/>
        <v>1</v>
      </c>
      <c r="AL6" s="163">
        <f t="shared" si="1"/>
        <v>0</v>
      </c>
      <c r="AM6" s="217"/>
    </row>
    <row r="7" spans="1:39" ht="18" customHeight="1">
      <c r="A7" s="216"/>
      <c r="B7" s="205"/>
      <c r="C7" s="67"/>
      <c r="D7" s="67"/>
      <c r="E7" s="67"/>
      <c r="F7" s="164"/>
      <c r="G7" s="67"/>
      <c r="H7" s="67"/>
      <c r="I7" s="67"/>
      <c r="J7" s="164"/>
      <c r="K7" s="67"/>
      <c r="L7" s="67"/>
      <c r="M7" s="67"/>
      <c r="N7" s="68"/>
      <c r="O7" s="69"/>
      <c r="P7" s="67"/>
      <c r="Q7" s="67"/>
      <c r="R7" s="164"/>
      <c r="S7" s="67"/>
      <c r="T7" s="67"/>
      <c r="U7" s="67"/>
      <c r="V7" s="164"/>
      <c r="W7" s="67"/>
      <c r="X7" s="67"/>
      <c r="Y7" s="67"/>
      <c r="Z7" s="164"/>
      <c r="AA7" s="67"/>
      <c r="AB7" s="67"/>
      <c r="AC7" s="67"/>
      <c r="AD7" s="164"/>
      <c r="AE7" s="4"/>
      <c r="AF7" s="4"/>
      <c r="AG7" s="4"/>
      <c r="AH7" s="168"/>
      <c r="AI7" s="4"/>
      <c r="AJ7" s="4"/>
      <c r="AK7" s="4"/>
      <c r="AL7" s="168"/>
      <c r="AM7" s="217"/>
    </row>
    <row r="8" spans="1:39" ht="26.55" hidden="1" customHeight="1">
      <c r="A8" s="216"/>
      <c r="B8" s="205"/>
      <c r="C8" s="61">
        <f>IF('Cost per dose'!$P$8&lt;=Sheet2!B$69,1,0)</f>
        <v>0</v>
      </c>
      <c r="D8" s="61">
        <f>IF('Cost per dose'!$P$8&lt;=Sheet2!C$69,1,0)</f>
        <v>0</v>
      </c>
      <c r="E8" s="61">
        <f>IF('Cost per dose'!$P$8&lt;=Sheet2!D$69,1,0)</f>
        <v>0</v>
      </c>
      <c r="F8" s="162">
        <f>IF('Cost per dose'!$P$8&lt;=Sheet2!E$69,1,0)</f>
        <v>0</v>
      </c>
      <c r="G8" s="61">
        <f>IF('Cost per dose'!$P$8&lt;=Sheet2!F$69,1,0)</f>
        <v>0</v>
      </c>
      <c r="H8" s="61">
        <f>IF('Cost per dose'!$P$8&lt;=Sheet2!G$69,1,0)</f>
        <v>0</v>
      </c>
      <c r="I8" s="61">
        <f>IF('Cost per dose'!$P$8&lt;=Sheet2!H$69,1,0)</f>
        <v>0</v>
      </c>
      <c r="J8" s="162">
        <f>IF('Cost per dose'!$P$8&lt;=Sheet2!I$69,1,0)</f>
        <v>0</v>
      </c>
      <c r="K8" s="61">
        <f>IF('Cost per dose'!$P$8&lt;=Sheet2!J$69,1,0)</f>
        <v>1</v>
      </c>
      <c r="L8" s="61">
        <f>IF('Cost per dose'!$P$8&lt;=Sheet2!K$69,1,0)</f>
        <v>1</v>
      </c>
      <c r="M8" s="61">
        <f>IF('Cost per dose'!$P$8&lt;=Sheet2!L$69,1,0)</f>
        <v>1</v>
      </c>
      <c r="N8" s="62">
        <f>IF('Cost per dose'!$P$8&lt;=Sheet2!M$69,1,0)</f>
        <v>1</v>
      </c>
      <c r="O8" s="63">
        <f>IF('Cost per dose'!$P$8&lt;=Sheet2!N$69,1,0)</f>
        <v>1</v>
      </c>
      <c r="P8" s="61">
        <f>IF('Cost per dose'!$P$8&lt;=Sheet2!O$69,1,0)</f>
        <v>1</v>
      </c>
      <c r="Q8" s="61">
        <f>IF('Cost per dose'!$P$8&lt;=Sheet2!P$69,1,0)</f>
        <v>1</v>
      </c>
      <c r="R8" s="162">
        <f>IF('Cost per dose'!$P$8&lt;=Sheet2!Q$69,1,0)</f>
        <v>1</v>
      </c>
      <c r="S8" s="61">
        <f>IF('Cost per dose'!$P$8&lt;=Sheet2!R$69,1,0)</f>
        <v>1</v>
      </c>
      <c r="T8" s="61">
        <f>IF('Cost per dose'!$P$8&lt;=Sheet2!S$69,1,0)</f>
        <v>1</v>
      </c>
      <c r="U8" s="61">
        <f>IF('Cost per dose'!$P$8&lt;=Sheet2!T$69,1,0)</f>
        <v>1</v>
      </c>
      <c r="V8" s="162">
        <f>IF('Cost per dose'!$P$8&lt;=Sheet2!U$69,1,0)</f>
        <v>1</v>
      </c>
      <c r="W8" s="61">
        <f>IF('Cost per dose'!$P$8&lt;=Sheet2!V$69,1,0)</f>
        <v>1</v>
      </c>
      <c r="X8" s="61">
        <f>IF('Cost per dose'!$P$8&lt;=Sheet2!W$69,1,0)</f>
        <v>1</v>
      </c>
      <c r="Y8" s="61">
        <f>IF('Cost per dose'!$P$8&lt;=Sheet2!X$69,1,0)</f>
        <v>1</v>
      </c>
      <c r="Z8" s="162">
        <f>IF('Cost per dose'!$P$8&lt;=Sheet2!Y$69,1,0)</f>
        <v>1</v>
      </c>
      <c r="AA8" s="61">
        <f>IF('Cost per dose'!$P$8&lt;=Sheet2!Z$69,1,0)</f>
        <v>1</v>
      </c>
      <c r="AB8" s="61">
        <f>IF('Cost per dose'!$P$8&lt;=Sheet2!AA$69,1,0)</f>
        <v>1</v>
      </c>
      <c r="AC8" s="61">
        <f>IF('Cost per dose'!$P$8&lt;=Sheet2!AB$69,1,0)</f>
        <v>1</v>
      </c>
      <c r="AD8" s="162">
        <f>IF('Cost per dose'!$P$8&lt;=Sheet2!AC$69,1,0)</f>
        <v>1</v>
      </c>
      <c r="AE8" s="61">
        <f>IF('Cost per dose'!$P$8&lt;=Sheet2!AD$69,1,0)</f>
        <v>1</v>
      </c>
      <c r="AF8" s="61">
        <f>IF('Cost per dose'!$P$8&lt;=Sheet2!AE$69,1,0)</f>
        <v>1</v>
      </c>
      <c r="AG8" s="61">
        <f>IF('Cost per dose'!$P$8&lt;=Sheet2!AF$69,1,0)</f>
        <v>1</v>
      </c>
      <c r="AH8" s="162">
        <f>IF('Cost per dose'!$P$8&lt;=Sheet2!AG$69,1,0)</f>
        <v>1</v>
      </c>
      <c r="AI8" s="61">
        <f>IF('Cost per dose'!$P$8&lt;=Sheet2!AH$69,1,0)</f>
        <v>1</v>
      </c>
      <c r="AJ8" s="61">
        <f>IF('Cost per dose'!$P$8&lt;=Sheet2!AI$69,1,0)</f>
        <v>1</v>
      </c>
      <c r="AK8" s="61">
        <f>IF('Cost per dose'!$P$8&lt;=Sheet2!AJ$69,1,0)</f>
        <v>1</v>
      </c>
      <c r="AL8" s="162">
        <f>IF('Cost per dose'!$P$8&lt;=Sheet2!$Q$69,1,0)</f>
        <v>1</v>
      </c>
      <c r="AM8" s="217"/>
    </row>
    <row r="9" spans="1:39" ht="34.799999999999997" hidden="1" customHeight="1">
      <c r="A9" s="216"/>
      <c r="B9" s="205"/>
      <c r="C9" s="61">
        <f t="shared" ref="C9:R9" si="2">IF(C8=0,0,1)</f>
        <v>0</v>
      </c>
      <c r="D9" s="61">
        <f t="shared" si="2"/>
        <v>0</v>
      </c>
      <c r="E9" s="61">
        <f t="shared" si="2"/>
        <v>0</v>
      </c>
      <c r="F9" s="162">
        <f t="shared" si="2"/>
        <v>0</v>
      </c>
      <c r="G9" s="61">
        <f t="shared" si="2"/>
        <v>0</v>
      </c>
      <c r="H9" s="61">
        <f t="shared" si="2"/>
        <v>0</v>
      </c>
      <c r="I9" s="61">
        <f t="shared" si="2"/>
        <v>0</v>
      </c>
      <c r="J9" s="162">
        <f t="shared" si="2"/>
        <v>0</v>
      </c>
      <c r="K9" s="61">
        <f t="shared" si="2"/>
        <v>1</v>
      </c>
      <c r="L9" s="61">
        <f t="shared" si="2"/>
        <v>1</v>
      </c>
      <c r="M9" s="61">
        <f t="shared" si="2"/>
        <v>1</v>
      </c>
      <c r="N9" s="62">
        <f t="shared" si="2"/>
        <v>1</v>
      </c>
      <c r="O9" s="63">
        <f t="shared" si="2"/>
        <v>1</v>
      </c>
      <c r="P9" s="61">
        <f t="shared" si="2"/>
        <v>1</v>
      </c>
      <c r="Q9" s="61">
        <f t="shared" si="2"/>
        <v>1</v>
      </c>
      <c r="R9" s="162">
        <f t="shared" si="2"/>
        <v>1</v>
      </c>
      <c r="S9" s="61">
        <f>IF('Cost per dose'!$AA$12&gt;=Sheet2!C72,1,0)</f>
        <v>1</v>
      </c>
      <c r="T9" s="61">
        <f>IF('Cost per dose'!$AA$12&gt;=Sheet2!D72,1,0)</f>
        <v>1</v>
      </c>
      <c r="U9" s="61">
        <f>IF('Cost per dose'!$AA$12&gt;=Sheet2!E72,1,0)</f>
        <v>1</v>
      </c>
      <c r="V9" s="162">
        <f>IF('Cost per dose'!$AA$12&gt;=Sheet2!F72,1,0)</f>
        <v>1</v>
      </c>
      <c r="W9" s="61">
        <f>IF('Cost per dose'!$AA$12&gt;=Sheet2!G72,1,0)</f>
        <v>1</v>
      </c>
      <c r="X9" s="61">
        <f>IF('Cost per dose'!$AA$12&gt;=Sheet2!H72,1,0)</f>
        <v>1</v>
      </c>
      <c r="Y9" s="61">
        <f>IF('Cost per dose'!$AA$12&gt;=Sheet2!I72,1,0)</f>
        <v>1</v>
      </c>
      <c r="Z9" s="162">
        <f>IF('Cost per dose'!$AA$12&gt;=Sheet2!J72,1,0)</f>
        <v>1</v>
      </c>
      <c r="AA9" s="61">
        <f>IF('Cost per dose'!$AA$12&gt;=Sheet2!K72,1,0)</f>
        <v>0</v>
      </c>
      <c r="AB9" s="61">
        <f>IF('Cost per dose'!$AA$12&gt;=Sheet2!L72,1,0)</f>
        <v>0</v>
      </c>
      <c r="AC9" s="61">
        <f>IF('Cost per dose'!$AA$12&gt;=Sheet2!M72,1,0)</f>
        <v>0</v>
      </c>
      <c r="AD9" s="162">
        <f>IF('Cost per dose'!$AA$12&gt;=Sheet2!N72,1,0)</f>
        <v>0</v>
      </c>
      <c r="AE9" s="61">
        <f>IF('Cost per dose'!$AA$12&gt;=Sheet2!O72,1,0)</f>
        <v>0</v>
      </c>
      <c r="AF9" s="61">
        <f>IF('Cost per dose'!$AA$12&gt;=Sheet2!P72,1,0)</f>
        <v>0</v>
      </c>
      <c r="AG9" s="61">
        <f>IF('Cost per dose'!$AA$12&gt;=Sheet2!Q72,1,0)</f>
        <v>0</v>
      </c>
      <c r="AH9" s="162">
        <f>IF('Cost per dose'!$AA$12&gt;=Sheet2!R72,1,0)</f>
        <v>0</v>
      </c>
      <c r="AI9" s="61">
        <f>IF('Cost per dose'!$AA$12&gt;=Sheet2!S72,1,0)</f>
        <v>0</v>
      </c>
      <c r="AJ9" s="61">
        <f>IF('Cost per dose'!$AA$12&gt;=Sheet2!T72,1,0)</f>
        <v>0</v>
      </c>
      <c r="AK9" s="61">
        <f>IF('Cost per dose'!$AA$12&gt;=Sheet2!U72,1,0)</f>
        <v>0</v>
      </c>
      <c r="AL9" s="162">
        <f>IF('Cost per dose'!$AA$12&gt;=Sheet2!V72,1,0)</f>
        <v>0</v>
      </c>
      <c r="AM9" s="217"/>
    </row>
    <row r="10" spans="1:39" ht="69" customHeight="1">
      <c r="A10" s="216"/>
      <c r="B10" s="205"/>
      <c r="C10" s="64">
        <f t="shared" ref="C10:AK10" si="3">SUM(C8:C9)</f>
        <v>0</v>
      </c>
      <c r="D10" s="64">
        <f t="shared" si="3"/>
        <v>0</v>
      </c>
      <c r="E10" s="64">
        <f t="shared" si="3"/>
        <v>0</v>
      </c>
      <c r="F10" s="163">
        <f t="shared" si="3"/>
        <v>0</v>
      </c>
      <c r="G10" s="64">
        <f t="shared" si="3"/>
        <v>0</v>
      </c>
      <c r="H10" s="64">
        <f t="shared" si="3"/>
        <v>0</v>
      </c>
      <c r="I10" s="64">
        <f t="shared" si="3"/>
        <v>0</v>
      </c>
      <c r="J10" s="163">
        <f t="shared" si="3"/>
        <v>0</v>
      </c>
      <c r="K10" s="64">
        <f t="shared" si="3"/>
        <v>2</v>
      </c>
      <c r="L10" s="64">
        <f t="shared" si="3"/>
        <v>2</v>
      </c>
      <c r="M10" s="64">
        <f t="shared" si="3"/>
        <v>2</v>
      </c>
      <c r="N10" s="65">
        <f t="shared" si="3"/>
        <v>2</v>
      </c>
      <c r="O10" s="66">
        <f t="shared" si="3"/>
        <v>2</v>
      </c>
      <c r="P10" s="64">
        <f t="shared" si="3"/>
        <v>2</v>
      </c>
      <c r="Q10" s="64">
        <f t="shared" si="3"/>
        <v>2</v>
      </c>
      <c r="R10" s="163">
        <f t="shared" si="3"/>
        <v>2</v>
      </c>
      <c r="S10" s="64">
        <f t="shared" si="3"/>
        <v>2</v>
      </c>
      <c r="T10" s="64">
        <f t="shared" si="3"/>
        <v>2</v>
      </c>
      <c r="U10" s="64">
        <f t="shared" si="3"/>
        <v>2</v>
      </c>
      <c r="V10" s="163">
        <f t="shared" si="3"/>
        <v>2</v>
      </c>
      <c r="W10" s="64">
        <f t="shared" si="3"/>
        <v>2</v>
      </c>
      <c r="X10" s="64">
        <f t="shared" si="3"/>
        <v>2</v>
      </c>
      <c r="Y10" s="64">
        <f t="shared" si="3"/>
        <v>2</v>
      </c>
      <c r="Z10" s="163">
        <f t="shared" si="3"/>
        <v>2</v>
      </c>
      <c r="AA10" s="64">
        <f t="shared" si="3"/>
        <v>1</v>
      </c>
      <c r="AB10" s="64">
        <f t="shared" si="3"/>
        <v>1</v>
      </c>
      <c r="AC10" s="64">
        <f t="shared" si="3"/>
        <v>1</v>
      </c>
      <c r="AD10" s="163">
        <f t="shared" si="3"/>
        <v>1</v>
      </c>
      <c r="AE10" s="64">
        <f t="shared" si="3"/>
        <v>1</v>
      </c>
      <c r="AF10" s="64">
        <f t="shared" si="3"/>
        <v>1</v>
      </c>
      <c r="AG10" s="64">
        <f t="shared" si="3"/>
        <v>1</v>
      </c>
      <c r="AH10" s="163">
        <f t="shared" si="3"/>
        <v>1</v>
      </c>
      <c r="AI10" s="64">
        <f t="shared" si="3"/>
        <v>1</v>
      </c>
      <c r="AJ10" s="64">
        <f t="shared" si="3"/>
        <v>1</v>
      </c>
      <c r="AK10" s="64">
        <f t="shared" si="3"/>
        <v>1</v>
      </c>
      <c r="AL10" s="168"/>
      <c r="AM10" s="217"/>
    </row>
    <row r="11" spans="1:39" ht="18" customHeight="1">
      <c r="A11" s="216"/>
      <c r="B11" s="205"/>
      <c r="C11" s="67"/>
      <c r="D11" s="67"/>
      <c r="E11" s="67"/>
      <c r="F11" s="164"/>
      <c r="G11" s="67"/>
      <c r="H11" s="67"/>
      <c r="I11" s="67"/>
      <c r="J11" s="164"/>
      <c r="K11" s="67"/>
      <c r="L11" s="67"/>
      <c r="M11" s="67"/>
      <c r="N11" s="68"/>
      <c r="O11" s="69"/>
      <c r="P11" s="67"/>
      <c r="Q11" s="67"/>
      <c r="R11" s="164"/>
      <c r="S11" s="67"/>
      <c r="T11" s="67"/>
      <c r="U11" s="67"/>
      <c r="V11" s="164"/>
      <c r="W11" s="67"/>
      <c r="X11" s="67"/>
      <c r="Y11" s="67"/>
      <c r="Z11" s="164"/>
      <c r="AA11" s="67"/>
      <c r="AB11" s="67"/>
      <c r="AC11" s="67"/>
      <c r="AD11" s="164"/>
      <c r="AE11" s="4"/>
      <c r="AF11" s="4"/>
      <c r="AG11" s="4"/>
      <c r="AH11" s="168"/>
      <c r="AI11" s="4"/>
      <c r="AJ11" s="4"/>
      <c r="AK11" s="4"/>
      <c r="AL11" s="168"/>
      <c r="AM11" s="217"/>
    </row>
    <row r="12" spans="1:39" ht="46.5" hidden="1" customHeight="1">
      <c r="A12" s="216"/>
      <c r="B12" s="205"/>
      <c r="C12" s="61">
        <f>IF('Cost per dose'!$P$8&lt;=Sheet2!B69,1,0)</f>
        <v>0</v>
      </c>
      <c r="D12" s="61">
        <f>IF('Cost per dose'!$P$8&lt;=Sheet2!C69,1,0)</f>
        <v>0</v>
      </c>
      <c r="E12" s="61">
        <f>IF('Cost per dose'!$P$8&lt;=Sheet2!D69,1,0)</f>
        <v>0</v>
      </c>
      <c r="F12" s="162">
        <f>IF('Cost per dose'!$P$8&lt;=Sheet2!E69,1,0)</f>
        <v>0</v>
      </c>
      <c r="G12" s="61">
        <f>IF('Cost per dose'!$P$8&lt;=Sheet2!F69,1,0)</f>
        <v>0</v>
      </c>
      <c r="H12" s="61">
        <f>IF('Cost per dose'!$P$8&lt;=Sheet2!G69,1,0)</f>
        <v>0</v>
      </c>
      <c r="I12" s="61">
        <f>IF('Cost per dose'!$P$8&lt;=Sheet2!H69,1,0)</f>
        <v>0</v>
      </c>
      <c r="J12" s="162">
        <f>IF('Cost per dose'!$P$8&lt;=Sheet2!I69,1,0)</f>
        <v>0</v>
      </c>
      <c r="K12" s="61">
        <f>IF('Cost per dose'!$P$8&lt;=Sheet2!J69,1,0)</f>
        <v>1</v>
      </c>
      <c r="L12" s="61">
        <f>IF('Cost per dose'!$P$8&lt;=Sheet2!K69,1,0)</f>
        <v>1</v>
      </c>
      <c r="M12" s="61">
        <f>IF('Cost per dose'!$P$8&lt;=Sheet2!L69,1,0)</f>
        <v>1</v>
      </c>
      <c r="N12" s="62">
        <f>IF('Cost per dose'!$P$8&lt;=Sheet2!M69,1,0)</f>
        <v>1</v>
      </c>
      <c r="O12" s="63">
        <f>IF('Cost per dose'!$P$8&lt;=Sheet2!N69,1,0)</f>
        <v>1</v>
      </c>
      <c r="P12" s="61">
        <f>IF('Cost per dose'!$P$8&lt;=Sheet2!O69,1,0)</f>
        <v>1</v>
      </c>
      <c r="Q12" s="61">
        <f>IF('Cost per dose'!$P$8&lt;=Sheet2!P69,1,0)</f>
        <v>1</v>
      </c>
      <c r="R12" s="162">
        <f>IF('Cost per dose'!$P$8&lt;=Sheet2!Q69,1,0)</f>
        <v>1</v>
      </c>
      <c r="S12" s="61">
        <f>IF('Cost per dose'!$P$8&lt;=Sheet2!R69,1,0)</f>
        <v>1</v>
      </c>
      <c r="T12" s="61">
        <f>IF('Cost per dose'!$P$8&lt;=Sheet2!S69,1,0)</f>
        <v>1</v>
      </c>
      <c r="U12" s="61">
        <f>IF('Cost per dose'!$P$8&lt;=Sheet2!T69,1,0)</f>
        <v>1</v>
      </c>
      <c r="V12" s="162">
        <f>IF('Cost per dose'!$P$8&lt;=Sheet2!U69,1,0)</f>
        <v>1</v>
      </c>
      <c r="W12" s="61">
        <f>IF('Cost per dose'!$P$8&lt;=Sheet2!V69,1,0)</f>
        <v>1</v>
      </c>
      <c r="X12" s="61">
        <f>IF('Cost per dose'!$P$8&lt;=Sheet2!W69,1,0)</f>
        <v>1</v>
      </c>
      <c r="Y12" s="61">
        <f>IF('Cost per dose'!$P$8&lt;=Sheet2!X69,1,0)</f>
        <v>1</v>
      </c>
      <c r="Z12" s="162">
        <f>IF('Cost per dose'!$P$8&lt;=Sheet2!Y69,1,0)</f>
        <v>1</v>
      </c>
      <c r="AA12" s="61">
        <f>IF('Cost per dose'!$P$8&lt;=Sheet2!Z69,1,0)</f>
        <v>1</v>
      </c>
      <c r="AB12" s="61">
        <f>IF('Cost per dose'!$P$8&lt;=Sheet2!AA69,1,0)</f>
        <v>1</v>
      </c>
      <c r="AC12" s="61">
        <f>IF('Cost per dose'!$P$8&lt;=Sheet2!AB69,1,0)</f>
        <v>1</v>
      </c>
      <c r="AD12" s="162">
        <f>IF('Cost per dose'!$P$8&lt;=Sheet2!AC69,1,0)</f>
        <v>1</v>
      </c>
      <c r="AE12" s="61">
        <f>IF('Cost per dose'!$P$8&lt;=Sheet2!AD69,1,0)</f>
        <v>1</v>
      </c>
      <c r="AF12" s="61">
        <f>IF('Cost per dose'!$P$8&lt;=Sheet2!AE69,1,0)</f>
        <v>1</v>
      </c>
      <c r="AG12" s="61">
        <f>IF('Cost per dose'!$P$8&lt;=Sheet2!AF69,1,0)</f>
        <v>1</v>
      </c>
      <c r="AH12" s="162">
        <f>IF('Cost per dose'!$P$8&lt;=Sheet2!AG69,1,0)</f>
        <v>1</v>
      </c>
      <c r="AI12" s="61">
        <f>IF('Cost per dose'!$P$8&lt;=Sheet2!AH69,1,0)</f>
        <v>1</v>
      </c>
      <c r="AJ12" s="61">
        <f>IF('Cost per dose'!$P$8&lt;=Sheet2!AI69,1,0)</f>
        <v>1</v>
      </c>
      <c r="AK12" s="61">
        <f>IF('Cost per dose'!$P$8&lt;=Sheet2!AJ69,1,0)</f>
        <v>1</v>
      </c>
      <c r="AL12" s="162">
        <f>IF('Cost per dose'!$P$8&lt;=Sheet2!AK69,1,0)</f>
        <v>0</v>
      </c>
      <c r="AM12" s="217"/>
    </row>
    <row r="13" spans="1:39" ht="46.5" hidden="1" customHeight="1">
      <c r="A13" s="216"/>
      <c r="B13" s="205"/>
      <c r="C13" s="61">
        <f t="shared" ref="C13:J13" si="4">IF(C12=0,0,1)</f>
        <v>0</v>
      </c>
      <c r="D13" s="61">
        <f t="shared" si="4"/>
        <v>0</v>
      </c>
      <c r="E13" s="61">
        <f t="shared" si="4"/>
        <v>0</v>
      </c>
      <c r="F13" s="162">
        <f t="shared" si="4"/>
        <v>0</v>
      </c>
      <c r="G13" s="61">
        <f t="shared" si="4"/>
        <v>0</v>
      </c>
      <c r="H13" s="61">
        <f t="shared" si="4"/>
        <v>0</v>
      </c>
      <c r="I13" s="61">
        <f t="shared" si="4"/>
        <v>0</v>
      </c>
      <c r="J13" s="162">
        <f t="shared" si="4"/>
        <v>0</v>
      </c>
      <c r="K13" s="61">
        <f>IF('Cost per dose'!$AA$14&gt;=Sheet2!C74,1,0)</f>
        <v>1</v>
      </c>
      <c r="L13" s="61">
        <f>IF('Cost per dose'!$AA$14&gt;=Sheet2!D74,1,0)</f>
        <v>1</v>
      </c>
      <c r="M13" s="61">
        <f>IF('Cost per dose'!$AA$14&gt;=Sheet2!E74,1,0)</f>
        <v>1</v>
      </c>
      <c r="N13" s="62">
        <f>IF('Cost per dose'!$AA$14&gt;=Sheet2!F74,1,0)</f>
        <v>1</v>
      </c>
      <c r="O13" s="63">
        <f>IF('Cost per dose'!$AA$14&gt;=Sheet2!G74,1,0)</f>
        <v>1</v>
      </c>
      <c r="P13" s="61">
        <f>IF('Cost per dose'!$AA$14&gt;=Sheet2!H74,1,0)</f>
        <v>1</v>
      </c>
      <c r="Q13" s="61">
        <f>IF('Cost per dose'!$AA$14&gt;=Sheet2!I74,1,0)</f>
        <v>1</v>
      </c>
      <c r="R13" s="162">
        <f>IF('Cost per dose'!$AA$14&gt;=Sheet2!J74,1,0)</f>
        <v>1</v>
      </c>
      <c r="S13" s="61">
        <f>IF('Cost per dose'!$AA$14&gt;=Sheet2!K74,1,0)</f>
        <v>0</v>
      </c>
      <c r="T13" s="61">
        <f>IF('Cost per dose'!$AA$14&gt;=Sheet2!L74,1,0)</f>
        <v>0</v>
      </c>
      <c r="U13" s="61">
        <f>IF('Cost per dose'!$AA$14&gt;=Sheet2!M74,1,0)</f>
        <v>0</v>
      </c>
      <c r="V13" s="162">
        <f>IF('Cost per dose'!$AA$14&gt;=Sheet2!N74,1,0)</f>
        <v>0</v>
      </c>
      <c r="W13" s="61">
        <f>IF('Cost per dose'!$AA$14&gt;=Sheet2!O74,1,0)</f>
        <v>0</v>
      </c>
      <c r="X13" s="61">
        <f>IF('Cost per dose'!$AA$14&gt;=Sheet2!P74,1,0)</f>
        <v>0</v>
      </c>
      <c r="Y13" s="61">
        <f>IF('Cost per dose'!$AA$14&gt;=Sheet2!Q74,1,0)</f>
        <v>0</v>
      </c>
      <c r="Z13" s="162">
        <f>IF('Cost per dose'!$AA$14&gt;=Sheet2!R74,1,0)</f>
        <v>0</v>
      </c>
      <c r="AA13" s="61">
        <f>IF('Cost per dose'!$AA$14&gt;=Sheet2!S74,1,0)</f>
        <v>0</v>
      </c>
      <c r="AB13" s="61">
        <f>IF('Cost per dose'!$AA$14&gt;=Sheet2!T74,1,0)</f>
        <v>0</v>
      </c>
      <c r="AC13" s="61">
        <f>IF('Cost per dose'!$AA$14&gt;=Sheet2!U74,1,0)</f>
        <v>0</v>
      </c>
      <c r="AD13" s="162">
        <f>IF('Cost per dose'!$AA$14&gt;=Sheet2!V74,1,0)</f>
        <v>0</v>
      </c>
      <c r="AE13" s="61">
        <f>IF('Cost per dose'!$AA$14&gt;=Sheet2!W74,1,0)</f>
        <v>0</v>
      </c>
      <c r="AF13" s="61">
        <f>IF('Cost per dose'!$AA$14&gt;=Sheet2!X74,1,0)</f>
        <v>0</v>
      </c>
      <c r="AG13" s="61">
        <f>IF('Cost per dose'!$AA$14&gt;=Sheet2!Y74,1,0)</f>
        <v>0</v>
      </c>
      <c r="AH13" s="162">
        <f>IF('Cost per dose'!$AA$14&gt;=Sheet2!Z74,1,0)</f>
        <v>0</v>
      </c>
      <c r="AI13" s="61">
        <f>IF('Cost per dose'!$AA$14&gt;=Sheet2!AA74,1,0)</f>
        <v>0</v>
      </c>
      <c r="AJ13" s="61">
        <f>IF('Cost per dose'!$AA$14&gt;=Sheet2!AB74,1,0)</f>
        <v>0</v>
      </c>
      <c r="AK13" s="61">
        <f>IF('Cost per dose'!$AA$14&gt;=Sheet2!AC74,1,0)</f>
        <v>0</v>
      </c>
      <c r="AL13" s="162">
        <f>IF('Cost per dose'!$AA$14&gt;=Sheet2!AD74,1,0)</f>
        <v>0</v>
      </c>
      <c r="AM13" s="217"/>
    </row>
    <row r="14" spans="1:39" ht="69" customHeight="1">
      <c r="A14" s="216"/>
      <c r="B14" s="205"/>
      <c r="C14" s="64">
        <f t="shared" ref="C14:AG14" si="5">SUM(C12:C13)</f>
        <v>0</v>
      </c>
      <c r="D14" s="64">
        <f t="shared" si="5"/>
        <v>0</v>
      </c>
      <c r="E14" s="64">
        <f t="shared" si="5"/>
        <v>0</v>
      </c>
      <c r="F14" s="163">
        <f t="shared" si="5"/>
        <v>0</v>
      </c>
      <c r="G14" s="64">
        <f t="shared" si="5"/>
        <v>0</v>
      </c>
      <c r="H14" s="64">
        <f t="shared" si="5"/>
        <v>0</v>
      </c>
      <c r="I14" s="64">
        <f t="shared" si="5"/>
        <v>0</v>
      </c>
      <c r="J14" s="163">
        <f t="shared" si="5"/>
        <v>0</v>
      </c>
      <c r="K14" s="64">
        <f t="shared" si="5"/>
        <v>2</v>
      </c>
      <c r="L14" s="64">
        <f t="shared" si="5"/>
        <v>2</v>
      </c>
      <c r="M14" s="64">
        <f t="shared" si="5"/>
        <v>2</v>
      </c>
      <c r="N14" s="65">
        <f t="shared" si="5"/>
        <v>2</v>
      </c>
      <c r="O14" s="66">
        <f t="shared" si="5"/>
        <v>2</v>
      </c>
      <c r="P14" s="64">
        <f t="shared" si="5"/>
        <v>2</v>
      </c>
      <c r="Q14" s="64">
        <f t="shared" si="5"/>
        <v>2</v>
      </c>
      <c r="R14" s="163">
        <f t="shared" si="5"/>
        <v>2</v>
      </c>
      <c r="S14" s="64">
        <f t="shared" si="5"/>
        <v>1</v>
      </c>
      <c r="T14" s="64">
        <f t="shared" si="5"/>
        <v>1</v>
      </c>
      <c r="U14" s="64">
        <f t="shared" si="5"/>
        <v>1</v>
      </c>
      <c r="V14" s="163">
        <f t="shared" si="5"/>
        <v>1</v>
      </c>
      <c r="W14" s="64">
        <f t="shared" si="5"/>
        <v>1</v>
      </c>
      <c r="X14" s="64">
        <f t="shared" si="5"/>
        <v>1</v>
      </c>
      <c r="Y14" s="64">
        <f t="shared" si="5"/>
        <v>1</v>
      </c>
      <c r="Z14" s="163">
        <f t="shared" si="5"/>
        <v>1</v>
      </c>
      <c r="AA14" s="64">
        <f t="shared" si="5"/>
        <v>1</v>
      </c>
      <c r="AB14" s="64">
        <f t="shared" si="5"/>
        <v>1</v>
      </c>
      <c r="AC14" s="64">
        <f t="shared" si="5"/>
        <v>1</v>
      </c>
      <c r="AD14" s="163">
        <f t="shared" si="5"/>
        <v>1</v>
      </c>
      <c r="AE14" s="64">
        <f t="shared" si="5"/>
        <v>1</v>
      </c>
      <c r="AF14" s="64">
        <f t="shared" si="5"/>
        <v>1</v>
      </c>
      <c r="AG14" s="64">
        <f t="shared" si="5"/>
        <v>1</v>
      </c>
      <c r="AH14" s="169"/>
      <c r="AI14" s="4"/>
      <c r="AJ14" s="4"/>
      <c r="AK14" s="4"/>
      <c r="AL14" s="168"/>
      <c r="AM14" s="217"/>
    </row>
    <row r="15" spans="1:39" ht="18" customHeight="1">
      <c r="A15" s="216"/>
      <c r="B15" s="205"/>
      <c r="C15" s="67"/>
      <c r="D15" s="67"/>
      <c r="E15" s="67"/>
      <c r="F15" s="164"/>
      <c r="G15" s="67"/>
      <c r="H15" s="67"/>
      <c r="I15" s="67"/>
      <c r="J15" s="164"/>
      <c r="K15" s="67"/>
      <c r="L15" s="67"/>
      <c r="M15" s="67"/>
      <c r="N15" s="68"/>
      <c r="O15" s="69"/>
      <c r="P15" s="67"/>
      <c r="Q15" s="67"/>
      <c r="R15" s="164"/>
      <c r="S15" s="67"/>
      <c r="T15" s="67"/>
      <c r="U15" s="67"/>
      <c r="V15" s="164"/>
      <c r="W15" s="67"/>
      <c r="X15" s="67"/>
      <c r="Y15" s="67"/>
      <c r="Z15" s="164"/>
      <c r="AA15" s="67"/>
      <c r="AB15" s="67"/>
      <c r="AC15" s="67"/>
      <c r="AD15" s="164"/>
      <c r="AE15" s="4"/>
      <c r="AF15" s="4"/>
      <c r="AG15" s="4"/>
      <c r="AH15" s="168"/>
      <c r="AI15" s="4"/>
      <c r="AJ15" s="4"/>
      <c r="AK15" s="4"/>
      <c r="AL15" s="168"/>
      <c r="AM15" s="217"/>
    </row>
    <row r="16" spans="1:39" ht="46.5" hidden="1" customHeight="1">
      <c r="A16" s="216"/>
      <c r="B16" s="205"/>
      <c r="C16" s="61">
        <f>IF('Cost per dose'!$P$8&lt;=Sheet2!B69,1,0)</f>
        <v>0</v>
      </c>
      <c r="D16" s="61">
        <f>IF('Cost per dose'!$P$8&lt;=Sheet2!C69,1,0)</f>
        <v>0</v>
      </c>
      <c r="E16" s="61">
        <f>IF('Cost per dose'!$P$8&lt;=Sheet2!D69,1,0)</f>
        <v>0</v>
      </c>
      <c r="F16" s="162">
        <f>IF('Cost per dose'!$P$8&lt;=Sheet2!E69,1,0)</f>
        <v>0</v>
      </c>
      <c r="G16" s="61">
        <f>IF('Cost per dose'!$P$8&lt;=Sheet2!F69,1,0)</f>
        <v>0</v>
      </c>
      <c r="H16" s="61">
        <f>IF('Cost per dose'!$P$8&lt;=Sheet2!G69,1,0)</f>
        <v>0</v>
      </c>
      <c r="I16" s="61">
        <f>IF('Cost per dose'!$P$8&lt;=Sheet2!H69,1,0)</f>
        <v>0</v>
      </c>
      <c r="J16" s="162">
        <f>IF('Cost per dose'!$P$8&lt;=Sheet2!I69,1,0)</f>
        <v>0</v>
      </c>
      <c r="K16" s="61">
        <f>IF('Cost per dose'!$P$8&lt;=Sheet2!J69,1,0)</f>
        <v>1</v>
      </c>
      <c r="L16" s="61">
        <f>IF('Cost per dose'!$P$8&lt;=Sheet2!K69,1,0)</f>
        <v>1</v>
      </c>
      <c r="M16" s="61">
        <f>IF('Cost per dose'!$P$8&lt;=Sheet2!L69,1,0)</f>
        <v>1</v>
      </c>
      <c r="N16" s="62">
        <f>IF('Cost per dose'!$P$8&lt;=Sheet2!M69,1,0)</f>
        <v>1</v>
      </c>
      <c r="O16" s="63">
        <f>IF('Cost per dose'!$P$8&lt;=Sheet2!N69,1,0)</f>
        <v>1</v>
      </c>
      <c r="P16" s="61">
        <f>IF('Cost per dose'!$P$8&lt;=Sheet2!O69,1,0)</f>
        <v>1</v>
      </c>
      <c r="Q16" s="61">
        <f>IF('Cost per dose'!$P$8&lt;=Sheet2!P69,1,0)</f>
        <v>1</v>
      </c>
      <c r="R16" s="162">
        <f>IF('Cost per dose'!$P$8&lt;=Sheet2!Q69,1,0)</f>
        <v>1</v>
      </c>
      <c r="S16" s="61">
        <f>IF('Cost per dose'!$P$8&lt;=Sheet2!R69,1,0)</f>
        <v>1</v>
      </c>
      <c r="T16" s="61">
        <f>IF('Cost per dose'!$P$8&lt;=Sheet2!S69,1,0)</f>
        <v>1</v>
      </c>
      <c r="U16" s="61">
        <f>IF('Cost per dose'!$P$8&lt;=Sheet2!T69,1,0)</f>
        <v>1</v>
      </c>
      <c r="V16" s="162">
        <f>IF('Cost per dose'!$P$8&lt;=Sheet2!U69,1,0)</f>
        <v>1</v>
      </c>
      <c r="W16" s="61">
        <f>IF('Cost per dose'!$P$8&lt;=Sheet2!V69,1,0)</f>
        <v>1</v>
      </c>
      <c r="X16" s="61">
        <f>IF('Cost per dose'!$P$8&lt;=Sheet2!W69,1,0)</f>
        <v>1</v>
      </c>
      <c r="Y16" s="61">
        <f>IF('Cost per dose'!$P$8&lt;=Sheet2!X69,1,0)</f>
        <v>1</v>
      </c>
      <c r="Z16" s="162">
        <f>IF('Cost per dose'!$P$8&lt;=Sheet2!Y69,1,0)</f>
        <v>1</v>
      </c>
      <c r="AA16" s="61">
        <f>IF('Cost per dose'!$P$8&lt;=Sheet2!Z69,1,0)</f>
        <v>1</v>
      </c>
      <c r="AB16" s="61">
        <f>IF('Cost per dose'!$P$8&lt;=Sheet2!AA69,1,0)</f>
        <v>1</v>
      </c>
      <c r="AC16" s="61">
        <f>IF('Cost per dose'!$P$8&lt;=Sheet2!AB69,1,0)</f>
        <v>1</v>
      </c>
      <c r="AD16" s="162">
        <f>IF('Cost per dose'!$P$8&lt;=Sheet2!AC69,1,0)</f>
        <v>1</v>
      </c>
      <c r="AE16" s="61">
        <f>IF('Cost per dose'!$P$8&lt;=Sheet2!AD69,1,0)</f>
        <v>1</v>
      </c>
      <c r="AF16" s="61">
        <f>IF('Cost per dose'!$P$8&lt;=Sheet2!AE69,1,0)</f>
        <v>1</v>
      </c>
      <c r="AG16" s="4"/>
      <c r="AH16" s="168"/>
      <c r="AI16" s="4"/>
      <c r="AJ16" s="4"/>
      <c r="AK16" s="4"/>
      <c r="AL16" s="168"/>
      <c r="AM16" s="217"/>
    </row>
    <row r="17" spans="1:39" ht="46.5" hidden="1" customHeight="1">
      <c r="A17" s="216"/>
      <c r="B17" s="205"/>
      <c r="C17" s="61">
        <f t="shared" ref="C17:H17" si="6">IF(C16=0,0,1)</f>
        <v>0</v>
      </c>
      <c r="D17" s="61">
        <f t="shared" si="6"/>
        <v>0</v>
      </c>
      <c r="E17" s="61">
        <f t="shared" si="6"/>
        <v>0</v>
      </c>
      <c r="F17" s="162">
        <f t="shared" si="6"/>
        <v>0</v>
      </c>
      <c r="G17" s="61">
        <f t="shared" si="6"/>
        <v>0</v>
      </c>
      <c r="H17" s="61">
        <f t="shared" si="6"/>
        <v>0</v>
      </c>
      <c r="I17" s="61">
        <f>IF('Cost per dose'!$AA$16&gt;=Sheet2!C76,1,0)</f>
        <v>1</v>
      </c>
      <c r="J17" s="162">
        <f>IF('Cost per dose'!$AA$16&gt;=Sheet2!D76,1,0)</f>
        <v>1</v>
      </c>
      <c r="K17" s="61">
        <f>IF('Cost per dose'!$AA$16&gt;=Sheet2!E76,1,0)</f>
        <v>1</v>
      </c>
      <c r="L17" s="61">
        <f>IF('Cost per dose'!$AA$16&gt;=Sheet2!F76,1,0)</f>
        <v>1</v>
      </c>
      <c r="M17" s="61">
        <f>IF('Cost per dose'!$AA$16&gt;=Sheet2!G76,1,0)</f>
        <v>1</v>
      </c>
      <c r="N17" s="62">
        <f>IF('Cost per dose'!$AA$16&gt;=Sheet2!H76,1,0)</f>
        <v>1</v>
      </c>
      <c r="O17" s="63">
        <f>IF('Cost per dose'!$AA$16&gt;=Sheet2!I76,1,0)</f>
        <v>1</v>
      </c>
      <c r="P17" s="61">
        <f>IF('Cost per dose'!$AA$16&gt;=Sheet2!J76,1,0)</f>
        <v>1</v>
      </c>
      <c r="Q17" s="61">
        <f>IF('Cost per dose'!$AA$16&gt;=Sheet2!K76,1,0)</f>
        <v>0</v>
      </c>
      <c r="R17" s="162">
        <f>IF('Cost per dose'!$AA$16&gt;=Sheet2!L76,1,0)</f>
        <v>0</v>
      </c>
      <c r="S17" s="61">
        <f>IF('Cost per dose'!$AA$16&gt;=Sheet2!M76,1,0)</f>
        <v>0</v>
      </c>
      <c r="T17" s="61">
        <f>IF('Cost per dose'!$AA$16&gt;=Sheet2!N76,1,0)</f>
        <v>0</v>
      </c>
      <c r="U17" s="61">
        <f>IF('Cost per dose'!$AA$16&gt;=Sheet2!O76,1,0)</f>
        <v>0</v>
      </c>
      <c r="V17" s="162">
        <f>IF('Cost per dose'!$AA$16&gt;=Sheet2!P76,1,0)</f>
        <v>0</v>
      </c>
      <c r="W17" s="61">
        <f>IF('Cost per dose'!$AA$16&gt;=Sheet2!Q76,1,0)</f>
        <v>0</v>
      </c>
      <c r="X17" s="61">
        <f>IF('Cost per dose'!$AA$16&gt;=Sheet2!R76,1,0)</f>
        <v>0</v>
      </c>
      <c r="Y17" s="61">
        <f>IF('Cost per dose'!$AA$16&gt;=Sheet2!S76,1,0)</f>
        <v>0</v>
      </c>
      <c r="Z17" s="162">
        <f>IF('Cost per dose'!$AA$16&gt;=Sheet2!T76,1,0)</f>
        <v>0</v>
      </c>
      <c r="AA17" s="61">
        <f>IF('Cost per dose'!$AA$16&gt;=Sheet2!U76,1,0)</f>
        <v>0</v>
      </c>
      <c r="AB17" s="61">
        <f>IF('Cost per dose'!$AA$16&gt;=Sheet2!V76,1,0)</f>
        <v>0</v>
      </c>
      <c r="AC17" s="61">
        <f>IF('Cost per dose'!$AA$16&gt;=Sheet2!W76,1,0)</f>
        <v>0</v>
      </c>
      <c r="AD17" s="162">
        <f>IF('Cost per dose'!$AA$16&gt;=Sheet2!X76,1,0)</f>
        <v>0</v>
      </c>
      <c r="AE17" s="61">
        <f>IF('Cost per dose'!$AA$16&gt;=Sheet2!Y76,1,0)</f>
        <v>0</v>
      </c>
      <c r="AF17" s="61">
        <f>IF('Cost per dose'!$AA$16&gt;=Sheet2!Z76,1,0)</f>
        <v>0</v>
      </c>
      <c r="AG17" s="4"/>
      <c r="AH17" s="168"/>
      <c r="AI17" s="4"/>
      <c r="AJ17" s="4"/>
      <c r="AK17" s="4"/>
      <c r="AL17" s="168"/>
      <c r="AM17" s="217"/>
    </row>
    <row r="18" spans="1:39" ht="69" customHeight="1">
      <c r="A18" s="216"/>
      <c r="B18" s="213" t="s">
        <v>60</v>
      </c>
      <c r="C18" s="64">
        <f t="shared" ref="C18:AG18" si="7">SUM(C16:C17)</f>
        <v>0</v>
      </c>
      <c r="D18" s="64">
        <f t="shared" si="7"/>
        <v>0</v>
      </c>
      <c r="E18" s="64">
        <f t="shared" si="7"/>
        <v>0</v>
      </c>
      <c r="F18" s="163">
        <f t="shared" si="7"/>
        <v>0</v>
      </c>
      <c r="G18" s="64">
        <f t="shared" si="7"/>
        <v>0</v>
      </c>
      <c r="H18" s="64">
        <f t="shared" si="7"/>
        <v>0</v>
      </c>
      <c r="I18" s="64">
        <f t="shared" si="7"/>
        <v>1</v>
      </c>
      <c r="J18" s="163">
        <f t="shared" si="7"/>
        <v>1</v>
      </c>
      <c r="K18" s="64">
        <f t="shared" si="7"/>
        <v>2</v>
      </c>
      <c r="L18" s="64">
        <f t="shared" si="7"/>
        <v>2</v>
      </c>
      <c r="M18" s="64">
        <f t="shared" si="7"/>
        <v>2</v>
      </c>
      <c r="N18" s="65">
        <f t="shared" si="7"/>
        <v>2</v>
      </c>
      <c r="O18" s="66">
        <f t="shared" si="7"/>
        <v>2</v>
      </c>
      <c r="P18" s="64">
        <f t="shared" si="7"/>
        <v>2</v>
      </c>
      <c r="Q18" s="64">
        <f t="shared" si="7"/>
        <v>1</v>
      </c>
      <c r="R18" s="163">
        <f t="shared" si="7"/>
        <v>1</v>
      </c>
      <c r="S18" s="64">
        <f t="shared" si="7"/>
        <v>1</v>
      </c>
      <c r="T18" s="64">
        <f t="shared" si="7"/>
        <v>1</v>
      </c>
      <c r="U18" s="64">
        <f t="shared" si="7"/>
        <v>1</v>
      </c>
      <c r="V18" s="163">
        <f t="shared" si="7"/>
        <v>1</v>
      </c>
      <c r="W18" s="64">
        <f t="shared" si="7"/>
        <v>1</v>
      </c>
      <c r="X18" s="64">
        <f t="shared" si="7"/>
        <v>1</v>
      </c>
      <c r="Y18" s="64">
        <f t="shared" si="7"/>
        <v>1</v>
      </c>
      <c r="Z18" s="163">
        <f t="shared" si="7"/>
        <v>1</v>
      </c>
      <c r="AA18" s="64">
        <f t="shared" si="7"/>
        <v>1</v>
      </c>
      <c r="AB18" s="64">
        <f t="shared" si="7"/>
        <v>1</v>
      </c>
      <c r="AC18" s="64">
        <f t="shared" si="7"/>
        <v>1</v>
      </c>
      <c r="AD18" s="163">
        <f t="shared" si="7"/>
        <v>1</v>
      </c>
      <c r="AE18" s="64">
        <f t="shared" si="7"/>
        <v>1</v>
      </c>
      <c r="AF18" s="64">
        <f t="shared" si="7"/>
        <v>1</v>
      </c>
      <c r="AG18" s="64">
        <f t="shared" si="7"/>
        <v>0</v>
      </c>
      <c r="AH18" s="169"/>
      <c r="AI18" s="4"/>
      <c r="AJ18" s="4"/>
      <c r="AK18" s="4"/>
      <c r="AL18" s="168"/>
      <c r="AM18" s="217"/>
    </row>
    <row r="19" spans="1:39" ht="18" customHeight="1">
      <c r="A19" s="216"/>
      <c r="B19" s="206"/>
      <c r="C19" s="67"/>
      <c r="D19" s="67"/>
      <c r="E19" s="67"/>
      <c r="F19" s="164"/>
      <c r="G19" s="67"/>
      <c r="H19" s="67"/>
      <c r="I19" s="67"/>
      <c r="J19" s="164"/>
      <c r="K19" s="67"/>
      <c r="L19" s="67"/>
      <c r="M19" s="67"/>
      <c r="N19" s="68"/>
      <c r="O19" s="69"/>
      <c r="P19" s="67"/>
      <c r="Q19" s="67"/>
      <c r="R19" s="164"/>
      <c r="S19" s="67"/>
      <c r="T19" s="67"/>
      <c r="U19" s="67"/>
      <c r="V19" s="164"/>
      <c r="W19" s="67"/>
      <c r="X19" s="67"/>
      <c r="Y19" s="67"/>
      <c r="Z19" s="164"/>
      <c r="AA19" s="4"/>
      <c r="AB19" s="4"/>
      <c r="AC19" s="4"/>
      <c r="AD19" s="168"/>
      <c r="AE19" s="4"/>
      <c r="AF19" s="4"/>
      <c r="AG19" s="4"/>
      <c r="AH19" s="168"/>
      <c r="AI19" s="4"/>
      <c r="AJ19" s="4"/>
      <c r="AK19" s="4"/>
      <c r="AL19" s="168"/>
      <c r="AM19" s="217"/>
    </row>
    <row r="20" spans="1:39" ht="69" customHeight="1">
      <c r="A20" s="216"/>
      <c r="B20" s="214" t="s">
        <v>95</v>
      </c>
      <c r="C20" s="64">
        <f t="shared" ref="C20:AG20" si="8">C18</f>
        <v>0</v>
      </c>
      <c r="D20" s="64">
        <f t="shared" si="8"/>
        <v>0</v>
      </c>
      <c r="E20" s="64">
        <f t="shared" si="8"/>
        <v>0</v>
      </c>
      <c r="F20" s="163">
        <f t="shared" si="8"/>
        <v>0</v>
      </c>
      <c r="G20" s="64">
        <f t="shared" si="8"/>
        <v>0</v>
      </c>
      <c r="H20" s="64">
        <f t="shared" si="8"/>
        <v>0</v>
      </c>
      <c r="I20" s="64">
        <f t="shared" si="8"/>
        <v>1</v>
      </c>
      <c r="J20" s="163">
        <f t="shared" si="8"/>
        <v>1</v>
      </c>
      <c r="K20" s="64">
        <f t="shared" si="8"/>
        <v>2</v>
      </c>
      <c r="L20" s="64">
        <f t="shared" si="8"/>
        <v>2</v>
      </c>
      <c r="M20" s="64">
        <f t="shared" si="8"/>
        <v>2</v>
      </c>
      <c r="N20" s="65">
        <f t="shared" si="8"/>
        <v>2</v>
      </c>
      <c r="O20" s="66">
        <f t="shared" si="8"/>
        <v>2</v>
      </c>
      <c r="P20" s="64">
        <f t="shared" si="8"/>
        <v>2</v>
      </c>
      <c r="Q20" s="64">
        <f t="shared" si="8"/>
        <v>1</v>
      </c>
      <c r="R20" s="163">
        <f t="shared" si="8"/>
        <v>1</v>
      </c>
      <c r="S20" s="64">
        <f t="shared" si="8"/>
        <v>1</v>
      </c>
      <c r="T20" s="64">
        <f t="shared" si="8"/>
        <v>1</v>
      </c>
      <c r="U20" s="64">
        <f t="shared" si="8"/>
        <v>1</v>
      </c>
      <c r="V20" s="163">
        <f t="shared" si="8"/>
        <v>1</v>
      </c>
      <c r="W20" s="64">
        <f t="shared" si="8"/>
        <v>1</v>
      </c>
      <c r="X20" s="64">
        <f t="shared" si="8"/>
        <v>1</v>
      </c>
      <c r="Y20" s="64">
        <f t="shared" si="8"/>
        <v>1</v>
      </c>
      <c r="Z20" s="163">
        <f t="shared" si="8"/>
        <v>1</v>
      </c>
      <c r="AA20" s="64">
        <f t="shared" si="8"/>
        <v>1</v>
      </c>
      <c r="AB20" s="64">
        <f t="shared" si="8"/>
        <v>1</v>
      </c>
      <c r="AC20" s="64">
        <f t="shared" si="8"/>
        <v>1</v>
      </c>
      <c r="AD20" s="163">
        <f t="shared" si="8"/>
        <v>1</v>
      </c>
      <c r="AE20" s="64">
        <f t="shared" si="8"/>
        <v>1</v>
      </c>
      <c r="AF20" s="64">
        <f t="shared" si="8"/>
        <v>1</v>
      </c>
      <c r="AG20" s="64">
        <f t="shared" si="8"/>
        <v>0</v>
      </c>
      <c r="AH20" s="168"/>
      <c r="AI20" s="4"/>
      <c r="AJ20" s="4"/>
      <c r="AK20" s="4"/>
      <c r="AL20" s="168"/>
      <c r="AM20" s="217"/>
    </row>
    <row r="21" spans="1:39" ht="46.5" customHeight="1">
      <c r="A21" s="216"/>
      <c r="B21" s="20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168"/>
      <c r="AM21" s="217"/>
    </row>
    <row r="22" spans="1:39" ht="25.8" customHeight="1">
      <c r="A22" s="216"/>
      <c r="B22" s="220" t="s">
        <v>94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168"/>
      <c r="AM22" s="217"/>
    </row>
    <row r="23" spans="1:39" ht="26.25" customHeight="1">
      <c r="A23" s="216"/>
      <c r="B23" s="220" t="s">
        <v>96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168"/>
      <c r="AM23" s="217"/>
    </row>
    <row r="24" spans="1:39" ht="26.25" customHeight="1">
      <c r="A24" s="216"/>
      <c r="B24" s="208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10"/>
      <c r="AM24" s="217"/>
    </row>
    <row r="25" spans="1:39" ht="28.2" customHeight="1">
      <c r="A25" s="281"/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18"/>
      <c r="AJ25" s="218"/>
      <c r="AK25" s="218"/>
      <c r="AL25" s="218"/>
      <c r="AM25" s="219"/>
    </row>
  </sheetData>
  <sheetProtection algorithmName="SHA-512" hashValue="FpDatRklV4+PiIf/xn3tis7nP8NFJPn4lx+v359s3JT77A+rHy3ZbzrQ4dpCrandFKDqBNuAppiBF+PFudIRrw==" saltValue="YyNUuxMJbgmfw9Pbpr5Ozw==" spinCount="100000" sheet="1" objects="1" scenarios="1"/>
  <mergeCells count="11">
    <mergeCell ref="A25:AH25"/>
    <mergeCell ref="AA3:AD3"/>
    <mergeCell ref="G3:J3"/>
    <mergeCell ref="AE3:AH3"/>
    <mergeCell ref="A1:AL1"/>
    <mergeCell ref="AI3:AL3"/>
    <mergeCell ref="K3:N3"/>
    <mergeCell ref="O3:R3"/>
    <mergeCell ref="S3:V3"/>
    <mergeCell ref="W3:Z3"/>
    <mergeCell ref="C3:F3"/>
  </mergeCells>
  <conditionalFormatting sqref="C6:AL6 C10:AK10 C14:AH14">
    <cfRule type="cellIs" dxfId="1" priority="1" stopIfTrue="1" operator="equal">
      <formula>2</formula>
    </cfRule>
  </conditionalFormatting>
  <conditionalFormatting sqref="C18:AL18 C20:AG20">
    <cfRule type="cellIs" dxfId="0" priority="2" stopIfTrue="1" operator="equal">
      <formula>2</formula>
    </cfRule>
  </conditionalFormatting>
  <pageMargins left="0.23622047244094491" right="3.937007874015748E-2" top="0.74803149606299213" bottom="0.74803149606299213" header="0.31496062992125984" footer="0.31496062992125984"/>
  <pageSetup scale="41" orientation="landscape" r:id="rId1"/>
  <headerFooter>
    <oddFooter>&amp;C&amp;"Helvetica Neue,Regular"&amp;12&amp;K000000&amp;P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Y31"/>
  <sheetViews>
    <sheetView showGridLines="0" topLeftCell="A8" zoomScaleNormal="100" workbookViewId="0">
      <selection activeCell="H4" sqref="H4:J4"/>
    </sheetView>
  </sheetViews>
  <sheetFormatPr defaultColWidth="8.77734375" defaultRowHeight="15" customHeight="1"/>
  <cols>
    <col min="1" max="1" width="4.33203125" style="88" customWidth="1"/>
    <col min="2" max="3" width="1.77734375" style="88" customWidth="1"/>
    <col min="4" max="5" width="8.77734375" style="88" customWidth="1"/>
    <col min="6" max="7" width="4.6640625" style="88" customWidth="1"/>
    <col min="8" max="8" width="5.77734375" style="88" customWidth="1"/>
    <col min="9" max="10" width="8.77734375" style="88" customWidth="1"/>
    <col min="11" max="13" width="4.6640625" style="88" customWidth="1"/>
    <col min="14" max="15" width="8.77734375" style="88" customWidth="1"/>
    <col min="16" max="18" width="4.6640625" style="88" customWidth="1"/>
    <col min="19" max="22" width="8.77734375" style="88" customWidth="1"/>
    <col min="23" max="24" width="4.6640625" style="88" customWidth="1"/>
    <col min="25" max="26" width="1.77734375" style="88" customWidth="1"/>
    <col min="27" max="27" width="4.6640625" style="88" customWidth="1"/>
    <col min="28" max="259" width="8.77734375" style="88" customWidth="1"/>
    <col min="260" max="16384" width="8.77734375" style="72"/>
  </cols>
  <sheetData>
    <row r="1" spans="1:247" ht="46.5" customHeight="1">
      <c r="A1" s="101"/>
      <c r="B1" s="321" t="s">
        <v>61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25"/>
      <c r="AA1" s="98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</row>
    <row r="2" spans="1:247" ht="15" customHeight="1">
      <c r="A2" s="101"/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101"/>
      <c r="AA2" s="98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</row>
    <row r="3" spans="1:247" ht="12" customHeight="1" thickBot="1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71"/>
      <c r="O3" s="71"/>
      <c r="P3" s="71"/>
      <c r="Q3" s="71"/>
      <c r="R3" s="71"/>
      <c r="S3" s="71"/>
      <c r="T3" s="102"/>
      <c r="U3" s="102"/>
      <c r="V3" s="102"/>
      <c r="W3" s="102"/>
      <c r="X3" s="102"/>
      <c r="Y3" s="102"/>
      <c r="Z3" s="102"/>
      <c r="AA3" s="98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</row>
    <row r="4" spans="1:247" ht="27" customHeight="1" thickBot="1">
      <c r="A4" s="101"/>
      <c r="B4" s="103"/>
      <c r="C4" s="103"/>
      <c r="D4" s="291" t="s">
        <v>62</v>
      </c>
      <c r="E4" s="292"/>
      <c r="F4" s="292"/>
      <c r="G4" s="292"/>
      <c r="H4" s="293" t="s">
        <v>37</v>
      </c>
      <c r="I4" s="294"/>
      <c r="J4" s="295"/>
      <c r="K4" s="103"/>
      <c r="L4" s="103"/>
      <c r="M4" s="103"/>
      <c r="N4" s="296" t="s">
        <v>63</v>
      </c>
      <c r="O4" s="297"/>
      <c r="P4" s="297"/>
      <c r="Q4" s="298" t="s">
        <v>7</v>
      </c>
      <c r="R4" s="299"/>
      <c r="S4" s="300"/>
      <c r="T4" s="103"/>
      <c r="U4" s="103"/>
      <c r="V4" s="103"/>
      <c r="W4" s="103"/>
      <c r="X4" s="103"/>
      <c r="Y4" s="103"/>
      <c r="Z4" s="103"/>
      <c r="AA4" s="98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</row>
    <row r="5" spans="1:247" ht="15" customHeight="1" thickBot="1">
      <c r="A5" s="101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98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</row>
    <row r="6" spans="1:247" ht="27" customHeight="1" thickBot="1">
      <c r="A6" s="101"/>
      <c r="B6" s="103"/>
      <c r="C6" s="103"/>
      <c r="D6" s="307" t="s">
        <v>64</v>
      </c>
      <c r="E6" s="308"/>
      <c r="F6" s="309">
        <v>1000</v>
      </c>
      <c r="G6" s="310"/>
      <c r="H6" s="104"/>
      <c r="I6" s="303" t="s">
        <v>65</v>
      </c>
      <c r="J6" s="304"/>
      <c r="K6" s="315">
        <v>1.5</v>
      </c>
      <c r="L6" s="316"/>
      <c r="M6" s="74"/>
      <c r="N6" s="303" t="s">
        <v>66</v>
      </c>
      <c r="O6" s="304"/>
      <c r="P6" s="301">
        <f>ROUND((F6*K6),0)</f>
        <v>1500</v>
      </c>
      <c r="Q6" s="302"/>
      <c r="R6" s="124"/>
      <c r="S6" s="303" t="s">
        <v>67</v>
      </c>
      <c r="T6" s="304"/>
      <c r="U6" s="304"/>
      <c r="V6" s="304"/>
      <c r="W6" s="311">
        <v>0.05</v>
      </c>
      <c r="X6" s="312"/>
      <c r="Y6" s="103"/>
      <c r="Z6" s="103"/>
      <c r="AA6" s="98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</row>
    <row r="7" spans="1:247" ht="7.95" customHeight="1" thickBot="1">
      <c r="A7" s="101"/>
      <c r="B7" s="103"/>
      <c r="C7" s="103"/>
      <c r="D7" s="105"/>
      <c r="E7" s="105"/>
      <c r="F7" s="123"/>
      <c r="G7" s="123"/>
      <c r="H7" s="105"/>
      <c r="I7" s="77"/>
      <c r="J7" s="77"/>
      <c r="K7" s="76"/>
      <c r="L7" s="78"/>
      <c r="M7" s="79"/>
      <c r="N7" s="73"/>
      <c r="O7" s="73"/>
      <c r="P7" s="78"/>
      <c r="Q7" s="78"/>
      <c r="R7" s="78"/>
      <c r="S7" s="73"/>
      <c r="T7" s="77"/>
      <c r="U7" s="77"/>
      <c r="V7" s="77"/>
      <c r="W7" s="80"/>
      <c r="X7" s="78"/>
      <c r="Y7" s="103"/>
      <c r="Z7" s="103"/>
      <c r="AA7" s="98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</row>
    <row r="8" spans="1:247" ht="27" customHeight="1" thickBot="1">
      <c r="A8" s="108"/>
      <c r="B8" s="103"/>
      <c r="C8" s="103"/>
      <c r="D8" s="307" t="s">
        <v>68</v>
      </c>
      <c r="E8" s="308"/>
      <c r="F8" s="305">
        <v>7.5999999999999998E-2</v>
      </c>
      <c r="G8" s="306"/>
      <c r="H8" s="106"/>
      <c r="I8" s="303" t="s">
        <v>69</v>
      </c>
      <c r="J8" s="304"/>
      <c r="K8" s="301">
        <f>F6*F8</f>
        <v>76</v>
      </c>
      <c r="L8" s="302"/>
      <c r="M8" s="75"/>
      <c r="N8" s="303" t="s">
        <v>70</v>
      </c>
      <c r="O8" s="304"/>
      <c r="P8" s="301">
        <f>ROUND((K8*W6),0)</f>
        <v>4</v>
      </c>
      <c r="Q8" s="302"/>
      <c r="R8" s="124"/>
      <c r="S8" s="303" t="s">
        <v>89</v>
      </c>
      <c r="T8" s="304"/>
      <c r="U8" s="304"/>
      <c r="V8" s="304"/>
      <c r="W8" s="313">
        <v>200</v>
      </c>
      <c r="X8" s="314"/>
      <c r="Y8" s="103"/>
      <c r="Z8" s="103"/>
      <c r="AA8" s="99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</row>
    <row r="9" spans="1:247" ht="7.95" customHeight="1" thickBot="1">
      <c r="A9" s="101"/>
      <c r="B9" s="103"/>
      <c r="C9" s="103"/>
      <c r="D9" s="109"/>
      <c r="E9" s="109"/>
      <c r="F9" s="123"/>
      <c r="G9" s="123"/>
      <c r="H9" s="106"/>
      <c r="I9" s="77"/>
      <c r="J9" s="73"/>
      <c r="K9" s="78"/>
      <c r="L9" s="78"/>
      <c r="M9" s="79"/>
      <c r="N9" s="77"/>
      <c r="O9" s="73"/>
      <c r="P9" s="78"/>
      <c r="Q9" s="78"/>
      <c r="R9" s="78"/>
      <c r="S9" s="73"/>
      <c r="T9" s="77"/>
      <c r="U9" s="77"/>
      <c r="V9" s="77"/>
      <c r="W9" s="81"/>
      <c r="X9" s="81"/>
      <c r="Y9" s="103"/>
      <c r="Z9" s="103"/>
      <c r="AA9" s="98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</row>
    <row r="10" spans="1:247" ht="27" customHeight="1" thickBot="1">
      <c r="A10" s="101"/>
      <c r="B10" s="103"/>
      <c r="C10" s="103"/>
      <c r="D10" s="307" t="s">
        <v>71</v>
      </c>
      <c r="E10" s="308"/>
      <c r="F10" s="305">
        <v>0.1</v>
      </c>
      <c r="G10" s="306"/>
      <c r="H10" s="106"/>
      <c r="I10" s="303" t="s">
        <v>72</v>
      </c>
      <c r="J10" s="304"/>
      <c r="K10" s="301">
        <f>P6*F10</f>
        <v>150</v>
      </c>
      <c r="L10" s="302"/>
      <c r="M10" s="75"/>
      <c r="N10" s="303" t="s">
        <v>73</v>
      </c>
      <c r="O10" s="304"/>
      <c r="P10" s="301">
        <f>ROUND((K10*W6),0)</f>
        <v>8</v>
      </c>
      <c r="Q10" s="302"/>
      <c r="R10" s="124"/>
      <c r="S10" s="303" t="s">
        <v>74</v>
      </c>
      <c r="T10" s="304"/>
      <c r="U10" s="304"/>
      <c r="V10" s="304"/>
      <c r="W10" s="313">
        <v>125</v>
      </c>
      <c r="X10" s="314"/>
      <c r="Y10" s="103"/>
      <c r="Z10" s="103"/>
      <c r="AA10" s="98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</row>
    <row r="11" spans="1:247" ht="7.95" customHeight="1" thickBot="1">
      <c r="A11" s="101"/>
      <c r="B11" s="110"/>
      <c r="C11" s="110"/>
      <c r="D11" s="107"/>
      <c r="E11" s="107"/>
      <c r="F11" s="107"/>
      <c r="G11" s="107"/>
      <c r="H11" s="103"/>
      <c r="I11" s="103"/>
      <c r="J11" s="103"/>
      <c r="K11" s="103"/>
      <c r="L11" s="111"/>
      <c r="M11" s="111"/>
      <c r="N11" s="111"/>
      <c r="O11" s="111"/>
      <c r="P11" s="111"/>
      <c r="Q11" s="111"/>
      <c r="R11" s="111"/>
      <c r="S11" s="82"/>
      <c r="T11" s="83"/>
      <c r="U11" s="83"/>
      <c r="V11" s="83"/>
      <c r="W11" s="84"/>
      <c r="X11" s="85"/>
      <c r="Y11" s="103"/>
      <c r="Z11" s="103"/>
      <c r="AA11" s="98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</row>
    <row r="12" spans="1:247" ht="27" customHeight="1" thickBot="1">
      <c r="A12" s="101"/>
      <c r="B12" s="112" t="s">
        <v>75</v>
      </c>
      <c r="C12" s="112" t="s">
        <v>76</v>
      </c>
      <c r="D12" s="103"/>
      <c r="E12" s="113"/>
      <c r="F12" s="113"/>
      <c r="G12" s="113"/>
      <c r="H12" s="113"/>
      <c r="I12" s="113"/>
      <c r="J12" s="113"/>
      <c r="K12" s="113"/>
      <c r="M12" s="127"/>
      <c r="N12" s="127"/>
      <c r="O12" s="127"/>
      <c r="P12" s="127"/>
      <c r="Q12" s="127"/>
      <c r="R12" s="127"/>
      <c r="S12" s="303" t="s">
        <v>78</v>
      </c>
      <c r="T12" s="319"/>
      <c r="U12" s="319"/>
      <c r="V12" s="319"/>
      <c r="W12" s="317">
        <f>(K8+K10)*0.5</f>
        <v>113</v>
      </c>
      <c r="X12" s="318"/>
      <c r="Y12" s="103"/>
      <c r="Z12" s="103"/>
      <c r="AA12" s="98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</row>
    <row r="13" spans="1:247" ht="7.95" customHeight="1" thickBot="1">
      <c r="A13" s="101"/>
      <c r="B13" s="110"/>
      <c r="C13" s="110"/>
      <c r="D13" s="113"/>
      <c r="E13" s="113"/>
      <c r="F13" s="113"/>
      <c r="G13" s="113"/>
      <c r="H13" s="113"/>
      <c r="I13" s="113"/>
      <c r="J13" s="113"/>
      <c r="K13" s="113"/>
      <c r="L13" s="127"/>
      <c r="M13" s="127"/>
      <c r="N13" s="127"/>
      <c r="O13" s="127"/>
      <c r="P13" s="127"/>
      <c r="Q13" s="127"/>
      <c r="R13" s="127"/>
      <c r="S13" s="86"/>
      <c r="T13" s="73"/>
      <c r="U13" s="73"/>
      <c r="V13" s="73"/>
      <c r="W13" s="78"/>
      <c r="X13" s="78"/>
      <c r="Y13" s="103"/>
      <c r="Z13" s="103"/>
      <c r="AA13" s="98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</row>
    <row r="14" spans="1:247" ht="27" customHeight="1" thickTop="1" thickBot="1">
      <c r="A14" s="101"/>
      <c r="B14" s="114">
        <f>VLOOKUP(Q4,Sheet2!A9:H12,4,FALSE)</f>
        <v>1</v>
      </c>
      <c r="C14" s="115">
        <f>Sheet2!D12</f>
        <v>1.8</v>
      </c>
      <c r="D14" s="328" t="s">
        <v>79</v>
      </c>
      <c r="E14" s="328"/>
      <c r="F14" s="328"/>
      <c r="G14" s="328"/>
      <c r="H14" s="328"/>
      <c r="I14" s="328"/>
      <c r="J14" s="329">
        <f>IF($H$4="Lambs only",B14*$P$6,IF($H$4="Ewes and Lambs",((C14*$F$6)+(B14*$P$6)),IF($H$4="Ewes only",C14*$F$6)))</f>
        <v>3300</v>
      </c>
      <c r="K14" s="128"/>
      <c r="L14" s="322" t="s">
        <v>77</v>
      </c>
      <c r="M14" s="323"/>
      <c r="N14" s="323"/>
      <c r="O14" s="323"/>
      <c r="P14" s="323"/>
      <c r="Q14" s="324"/>
      <c r="R14" s="161"/>
      <c r="S14" s="303" t="s">
        <v>80</v>
      </c>
      <c r="T14" s="319"/>
      <c r="U14" s="319"/>
      <c r="V14" s="319"/>
      <c r="W14" s="317">
        <v>10</v>
      </c>
      <c r="X14" s="318"/>
      <c r="Y14" s="103"/>
      <c r="Z14" s="103"/>
      <c r="AA14" s="98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</row>
    <row r="15" spans="1:247" ht="7.95" customHeight="1" thickTop="1" thickBot="1">
      <c r="A15" s="101"/>
      <c r="B15" s="110"/>
      <c r="C15" s="110"/>
      <c r="D15" s="328"/>
      <c r="E15" s="328"/>
      <c r="F15" s="328"/>
      <c r="G15" s="328"/>
      <c r="H15" s="328"/>
      <c r="I15" s="328"/>
      <c r="J15" s="329"/>
      <c r="K15" s="118"/>
      <c r="L15" s="325"/>
      <c r="M15" s="326"/>
      <c r="N15" s="326"/>
      <c r="O15" s="326"/>
      <c r="P15" s="326"/>
      <c r="Q15" s="327"/>
      <c r="R15" s="126"/>
      <c r="S15" s="87"/>
      <c r="T15" s="73"/>
      <c r="U15" s="73"/>
      <c r="V15" s="73"/>
      <c r="W15" s="78"/>
      <c r="X15" s="78"/>
      <c r="Y15" s="103"/>
      <c r="Z15" s="103"/>
      <c r="AA15" s="98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</row>
    <row r="16" spans="1:247" ht="27" customHeight="1" thickTop="1" thickBot="1">
      <c r="A16" s="101"/>
      <c r="B16" s="114">
        <f>VLOOKUP(Q4,Sheet2!A9:F12,6,FALSE)</f>
        <v>0.96799999999999997</v>
      </c>
      <c r="C16" s="115">
        <f>Sheet2!F12</f>
        <v>1.694</v>
      </c>
      <c r="D16" s="330" t="s">
        <v>81</v>
      </c>
      <c r="E16" s="330"/>
      <c r="F16" s="330"/>
      <c r="G16" s="330"/>
      <c r="H16" s="330"/>
      <c r="I16" s="330"/>
      <c r="J16" s="329">
        <f>IF($H$4="Lambs only",B16*$P$6,IF($H$4="Ewes and Lambs",((C16*$F$6)+(B16*$P$6)),IF($H$4="Ewes only",C16*$F$6)))</f>
        <v>3146</v>
      </c>
      <c r="K16" s="128"/>
      <c r="L16" s="331">
        <f>W16+W18+W20+W12</f>
        <v>4173</v>
      </c>
      <c r="M16" s="332"/>
      <c r="N16" s="332"/>
      <c r="O16" s="332"/>
      <c r="P16" s="332"/>
      <c r="Q16" s="333"/>
      <c r="R16" s="126"/>
      <c r="S16" s="303" t="s">
        <v>83</v>
      </c>
      <c r="T16" s="319"/>
      <c r="U16" s="319"/>
      <c r="V16" s="319"/>
      <c r="W16" s="317">
        <f>P8*W8</f>
        <v>800</v>
      </c>
      <c r="X16" s="318"/>
      <c r="Y16" s="103"/>
      <c r="Z16" s="103"/>
      <c r="AA16" s="98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</row>
    <row r="17" spans="1:259" ht="7.95" customHeight="1" thickTop="1" thickBot="1">
      <c r="A17" s="101"/>
      <c r="B17" s="119"/>
      <c r="C17" s="119"/>
      <c r="D17" s="330"/>
      <c r="E17" s="330"/>
      <c r="F17" s="330"/>
      <c r="G17" s="330"/>
      <c r="H17" s="330"/>
      <c r="I17" s="330"/>
      <c r="J17" s="329"/>
      <c r="K17" s="118"/>
      <c r="L17" s="331"/>
      <c r="M17" s="332"/>
      <c r="N17" s="332"/>
      <c r="O17" s="332"/>
      <c r="P17" s="332"/>
      <c r="Q17" s="333"/>
      <c r="R17" s="126"/>
      <c r="S17" s="87"/>
      <c r="T17" s="73"/>
      <c r="U17" s="89"/>
      <c r="V17" s="89"/>
      <c r="W17" s="337"/>
      <c r="X17" s="337"/>
      <c r="Y17" s="103"/>
      <c r="Z17" s="103"/>
      <c r="AA17" s="98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</row>
    <row r="18" spans="1:259" ht="27" customHeight="1" thickTop="1" thickBot="1">
      <c r="A18" s="101"/>
      <c r="B18" s="114">
        <f>VLOOKUP(Q4,Sheet2!A9:H12,8,FALSE)</f>
        <v>0.68</v>
      </c>
      <c r="C18" s="115">
        <f>Sheet2!H12</f>
        <v>1.224</v>
      </c>
      <c r="D18" s="330" t="s">
        <v>82</v>
      </c>
      <c r="E18" s="330"/>
      <c r="F18" s="330"/>
      <c r="G18" s="330"/>
      <c r="H18" s="330"/>
      <c r="I18" s="330"/>
      <c r="J18" s="329">
        <f>IF($H$4="Lambs only",B18*$P$6,IF($H$4="Ewes and Lambs",((C18*$F$6)+(B18*$P$6)),IF($H$4="Ewes only",C18*$F$6)))</f>
        <v>2244</v>
      </c>
      <c r="K18" s="128"/>
      <c r="L18" s="331"/>
      <c r="M18" s="332"/>
      <c r="N18" s="332"/>
      <c r="O18" s="332"/>
      <c r="P18" s="332"/>
      <c r="Q18" s="333"/>
      <c r="R18" s="126"/>
      <c r="S18" s="303" t="s">
        <v>84</v>
      </c>
      <c r="T18" s="319"/>
      <c r="U18" s="319"/>
      <c r="V18" s="319"/>
      <c r="W18" s="317">
        <f>W10*P10</f>
        <v>1000</v>
      </c>
      <c r="X18" s="318"/>
      <c r="Y18" s="103"/>
      <c r="Z18" s="103"/>
      <c r="AA18" s="98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</row>
    <row r="19" spans="1:259" ht="7.95" customHeight="1" thickTop="1" thickBot="1">
      <c r="A19" s="101"/>
      <c r="B19" s="110"/>
      <c r="C19" s="110"/>
      <c r="D19" s="330"/>
      <c r="E19" s="330"/>
      <c r="F19" s="330"/>
      <c r="G19" s="330"/>
      <c r="H19" s="330"/>
      <c r="I19" s="330"/>
      <c r="J19" s="329"/>
      <c r="K19" s="117"/>
      <c r="L19" s="334"/>
      <c r="M19" s="335"/>
      <c r="N19" s="335"/>
      <c r="O19" s="335"/>
      <c r="P19" s="335"/>
      <c r="Q19" s="336"/>
      <c r="R19" s="117"/>
      <c r="S19" s="87"/>
      <c r="T19" s="73"/>
      <c r="U19" s="90"/>
      <c r="V19" s="90"/>
      <c r="W19" s="91"/>
      <c r="X19" s="91"/>
      <c r="Y19" s="103"/>
      <c r="Z19" s="103"/>
      <c r="AA19" s="98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</row>
    <row r="20" spans="1:259" s="97" customFormat="1" ht="27" customHeight="1" thickTop="1" thickBot="1">
      <c r="A20" s="120"/>
      <c r="B20" s="116"/>
      <c r="C20" s="116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303" t="s">
        <v>15</v>
      </c>
      <c r="T20" s="319"/>
      <c r="U20" s="319"/>
      <c r="V20" s="319"/>
      <c r="W20" s="317">
        <f>W14*(K8+K10)</f>
        <v>2260</v>
      </c>
      <c r="X20" s="318"/>
      <c r="Y20" s="116"/>
      <c r="Z20" s="116"/>
      <c r="AA20" s="10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</row>
    <row r="21" spans="1:259" s="134" customFormat="1" ht="12" customHeight="1" thickBot="1">
      <c r="A21" s="129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72"/>
      <c r="T21" s="72"/>
      <c r="U21" s="72"/>
      <c r="V21" s="72"/>
      <c r="W21" s="72"/>
      <c r="X21" s="72"/>
      <c r="Y21" s="72"/>
      <c r="Z21" s="72"/>
      <c r="AA21" s="131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3"/>
      <c r="IO21" s="133"/>
      <c r="IP21" s="133"/>
      <c r="IQ21" s="133"/>
      <c r="IR21" s="133"/>
      <c r="IS21" s="133"/>
      <c r="IT21" s="133"/>
      <c r="IU21" s="133"/>
      <c r="IV21" s="133"/>
      <c r="IW21" s="133"/>
      <c r="IX21" s="133"/>
      <c r="IY21" s="133"/>
    </row>
    <row r="22" spans="1:259" s="134" customFormat="1" ht="15" customHeight="1" thickTop="1">
      <c r="A22" s="129"/>
      <c r="B22" s="94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5"/>
      <c r="X22" s="95"/>
      <c r="Y22" s="93"/>
      <c r="Z22" s="93"/>
      <c r="AA22" s="131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3"/>
      <c r="IO22" s="133"/>
      <c r="IP22" s="133"/>
      <c r="IQ22" s="133"/>
      <c r="IR22" s="133"/>
      <c r="IS22" s="133"/>
      <c r="IT22" s="133"/>
      <c r="IU22" s="133"/>
      <c r="IV22" s="133"/>
      <c r="IW22" s="133"/>
      <c r="IX22" s="133"/>
      <c r="IY22" s="133"/>
    </row>
    <row r="23" spans="1:259" s="134" customFormat="1" ht="14.55" customHeight="1">
      <c r="A23" s="129"/>
      <c r="B23" s="130"/>
      <c r="C23" s="130"/>
      <c r="E23" s="136"/>
      <c r="F23" s="320" t="s">
        <v>99</v>
      </c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136"/>
      <c r="W23" s="135"/>
      <c r="X23" s="135"/>
      <c r="Y23" s="130"/>
      <c r="Z23" s="130"/>
      <c r="AA23" s="131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3"/>
      <c r="IO23" s="133"/>
      <c r="IP23" s="133"/>
      <c r="IQ23" s="133"/>
      <c r="IR23" s="133"/>
      <c r="IS23" s="133"/>
      <c r="IT23" s="133"/>
      <c r="IU23" s="133"/>
      <c r="IV23" s="133"/>
      <c r="IW23" s="133"/>
      <c r="IX23" s="133"/>
      <c r="IY23" s="133"/>
    </row>
    <row r="24" spans="1:259" ht="14.4">
      <c r="A24" s="101"/>
      <c r="B24" s="103"/>
      <c r="C24" s="103"/>
      <c r="D24" s="136"/>
      <c r="E24" s="136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136"/>
      <c r="W24" s="122"/>
      <c r="X24" s="122"/>
      <c r="Y24" s="103"/>
      <c r="Z24" s="103"/>
      <c r="AA24" s="98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</row>
    <row r="25" spans="1:259" ht="14.4">
      <c r="A25" s="101"/>
      <c r="B25" s="103"/>
      <c r="C25" s="103"/>
      <c r="D25" s="136"/>
      <c r="E25" s="136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136"/>
      <c r="W25" s="122"/>
      <c r="X25" s="122"/>
      <c r="Y25" s="103"/>
      <c r="Z25" s="103"/>
      <c r="AA25" s="98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</row>
    <row r="26" spans="1:259" ht="14.4">
      <c r="A26" s="101"/>
      <c r="B26" s="103"/>
      <c r="C26" s="103"/>
      <c r="D26" s="136"/>
      <c r="E26" s="136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136"/>
      <c r="W26" s="122"/>
      <c r="X26" s="122"/>
      <c r="Y26" s="103"/>
      <c r="Z26" s="103"/>
      <c r="AA26" s="98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</row>
    <row r="27" spans="1:259" ht="14.4">
      <c r="A27" s="101"/>
      <c r="B27" s="103"/>
      <c r="C27" s="103"/>
      <c r="D27" s="136"/>
      <c r="E27" s="136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136"/>
      <c r="W27" s="122"/>
      <c r="X27" s="122"/>
      <c r="Y27" s="103"/>
      <c r="Z27" s="103"/>
      <c r="AA27" s="98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</row>
    <row r="28" spans="1:259" ht="28.95" customHeight="1">
      <c r="A28" s="101"/>
      <c r="B28" s="103"/>
      <c r="C28" s="103"/>
      <c r="D28" s="136"/>
      <c r="E28" s="136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136"/>
      <c r="W28" s="122"/>
      <c r="X28" s="122"/>
      <c r="Y28" s="103"/>
      <c r="Z28" s="103"/>
      <c r="AA28" s="98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</row>
    <row r="29" spans="1:259" ht="21.6" customHeight="1">
      <c r="A29" s="101"/>
      <c r="B29" s="103"/>
      <c r="C29" s="103"/>
      <c r="D29" s="136"/>
      <c r="E29" s="136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136"/>
      <c r="W29" s="122"/>
      <c r="X29" s="122"/>
      <c r="Y29" s="103"/>
      <c r="Z29" s="103"/>
      <c r="AA29" s="98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</row>
    <row r="30" spans="1:259" ht="15" customHeight="1">
      <c r="A30" s="101"/>
      <c r="B30" s="103"/>
      <c r="C30" s="103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22"/>
      <c r="X30" s="122"/>
      <c r="Y30" s="103"/>
      <c r="Z30" s="103"/>
      <c r="AA30" s="98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</row>
    <row r="31" spans="1:259" ht="21.7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</row>
  </sheetData>
  <sheetProtection algorithmName="SHA-512" hashValue="9FBjab0oSGQBa7NlbLPqkwYg3GBt+5T2BBffjJ3jsQUIBSj8umBT6v2P2zap5kNKywtwwdzR7/BMEqMTlvnnWA==" saltValue="x/TRxzlWVh7eRap7GqdnNQ==" spinCount="100000" sheet="1" objects="1" scenarios="1"/>
  <mergeCells count="49">
    <mergeCell ref="F23:U29"/>
    <mergeCell ref="B1:Y2"/>
    <mergeCell ref="S20:V20"/>
    <mergeCell ref="W20:X20"/>
    <mergeCell ref="L14:Q15"/>
    <mergeCell ref="D14:I15"/>
    <mergeCell ref="J14:J15"/>
    <mergeCell ref="D16:I17"/>
    <mergeCell ref="J16:J17"/>
    <mergeCell ref="L16:Q19"/>
    <mergeCell ref="S16:V16"/>
    <mergeCell ref="W16:X16"/>
    <mergeCell ref="W17:X17"/>
    <mergeCell ref="D18:I19"/>
    <mergeCell ref="J18:J19"/>
    <mergeCell ref="S18:V18"/>
    <mergeCell ref="W18:X18"/>
    <mergeCell ref="W10:X10"/>
    <mergeCell ref="S12:V12"/>
    <mergeCell ref="W12:X12"/>
    <mergeCell ref="S14:V14"/>
    <mergeCell ref="W14:X14"/>
    <mergeCell ref="I10:J10"/>
    <mergeCell ref="K10:L10"/>
    <mergeCell ref="W6:X6"/>
    <mergeCell ref="I8:J8"/>
    <mergeCell ref="K8:L8"/>
    <mergeCell ref="N8:O8"/>
    <mergeCell ref="P8:Q8"/>
    <mergeCell ref="S8:V8"/>
    <mergeCell ref="W8:X8"/>
    <mergeCell ref="K6:L6"/>
    <mergeCell ref="P6:Q6"/>
    <mergeCell ref="D4:G4"/>
    <mergeCell ref="H4:J4"/>
    <mergeCell ref="N4:P4"/>
    <mergeCell ref="Q4:S4"/>
    <mergeCell ref="P10:Q10"/>
    <mergeCell ref="N10:O10"/>
    <mergeCell ref="S10:V10"/>
    <mergeCell ref="F10:G10"/>
    <mergeCell ref="D10:E10"/>
    <mergeCell ref="F8:G8"/>
    <mergeCell ref="N6:O6"/>
    <mergeCell ref="S6:V6"/>
    <mergeCell ref="I6:J6"/>
    <mergeCell ref="D6:E6"/>
    <mergeCell ref="F6:G6"/>
    <mergeCell ref="D8:E8"/>
  </mergeCells>
  <pageMargins left="0.23622047244094491" right="0.23622047244094491" top="0.35433070866141736" bottom="0.35433070866141736" header="0.31496062992125984" footer="0.31496062992125984"/>
  <pageSetup scale="85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CFE12A-E48C-4D28-9263-764E23FE78ED}">
          <x14:formula1>
            <xm:f>Sheet2!$A$83:$A$85</xm:f>
          </x14:formula1>
          <xm:sqref>H4:J4</xm:sqref>
        </x14:dataValidation>
        <x14:dataValidation type="list" allowBlank="1" showInputMessage="1" showErrorMessage="1" xr:uid="{C38AE562-3650-4068-AEF9-0B28D2B70A86}">
          <x14:formula1>
            <xm:f>Sheet2!$A$3:$A$6</xm:f>
          </x14:formula1>
          <xm:sqref>Q4:S4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Cost per dose (2)</vt:lpstr>
      <vt:lpstr>Cost per dose</vt:lpstr>
      <vt:lpstr>Sheet2</vt:lpstr>
      <vt:lpstr>Length of protection</vt:lpstr>
      <vt:lpstr>Cost of blowfly strike</vt:lpstr>
      <vt:lpstr>'Cost of blowfly strike'!Print_Area</vt:lpstr>
      <vt:lpstr>'Cost per dose'!Print_Area</vt:lpstr>
      <vt:lpstr>'Cost per dose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Billy Kyle</dc:creator>
  <cp:lastModifiedBy>Billy Kyle</cp:lastModifiedBy>
  <cp:lastPrinted>2024-02-13T16:39:28Z</cp:lastPrinted>
  <dcterms:created xsi:type="dcterms:W3CDTF">2023-01-20T17:57:46Z</dcterms:created>
  <dcterms:modified xsi:type="dcterms:W3CDTF">2024-04-06T06:54:59Z</dcterms:modified>
</cp:coreProperties>
</file>